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stiem\OneDrive\Documents\_KnowYourFinance\Modellen\Meerjaren_brutomarge\"/>
    </mc:Choice>
  </mc:AlternateContent>
  <xr:revisionPtr revIDLastSave="0" documentId="8_{790AEE53-50E4-4B09-BF7F-54E8717AB6D3}" xr6:coauthVersionLast="47" xr6:coauthVersionMax="47" xr10:uidLastSave="{00000000-0000-0000-0000-000000000000}"/>
  <bookViews>
    <workbookView xWindow="-108" yWindow="-108" windowWidth="23256" windowHeight="12456" activeTab="5" xr2:uid="{00000000-000D-0000-FFFF-FFFF00000000}"/>
  </bookViews>
  <sheets>
    <sheet name="Bepalingen" sheetId="23" r:id="rId1"/>
    <sheet name="Modeltoelichting" sheetId="4" r:id="rId2"/>
    <sheet name="Afkortingen" sheetId="22" r:id="rId3"/>
    <sheet name="OUTPUT-&gt;" sheetId="21" r:id="rId4"/>
    <sheet name="ErrorChecks" sheetId="24" r:id="rId5"/>
    <sheet name="Dashboard" sheetId="19" r:id="rId6"/>
    <sheet name="RR" sheetId="1" r:id="rId7"/>
    <sheet name="Balans" sheetId="7" r:id="rId8"/>
    <sheet name="Kasstroomoverzicht" sheetId="17" r:id="rId9"/>
    <sheet name="Ratios" sheetId="18" r:id="rId10"/>
    <sheet name="INVOER-&gt;" sheetId="13" r:id="rId11"/>
    <sheet name="1. Realisatie RR en BS" sheetId="12" r:id="rId12"/>
    <sheet name="2. Prognose RR" sheetId="3" r:id="rId13"/>
    <sheet name="3. Prognose BS" sheetId="9" r:id="rId14"/>
  </sheets>
  <definedNames>
    <definedName name="_xlnm.Print_Area" localSheetId="7">Balans!$B$2:$K$31</definedName>
    <definedName name="_xlnm.Print_Area" localSheetId="5">Dashboard!$B$2:$T$33</definedName>
    <definedName name="_xlnm.Print_Area" localSheetId="8">Kasstroomoverzicht!$B$2:$K$42</definedName>
    <definedName name="_xlnm.Print_Area" localSheetId="9">Ratios!$B$2:$K$78</definedName>
    <definedName name="_xlnm.Print_Area" localSheetId="6">RR!$B$2:$K$33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 i="9" l="1"/>
  <c r="G2" i="3"/>
  <c r="G2" i="12"/>
  <c r="O2" i="18"/>
  <c r="B21" i="24" l="1"/>
  <c r="B18" i="24"/>
  <c r="K116" i="9"/>
  <c r="J116" i="9"/>
  <c r="I116" i="9"/>
  <c r="H116" i="9"/>
  <c r="G116" i="9"/>
  <c r="F116" i="9"/>
  <c r="E116" i="9"/>
  <c r="G105" i="9"/>
  <c r="F73" i="9"/>
  <c r="F63" i="9"/>
  <c r="F59" i="9" s="1"/>
  <c r="B38" i="9"/>
  <c r="E9" i="12"/>
  <c r="B9" i="24"/>
  <c r="B8" i="24"/>
  <c r="E36" i="12"/>
  <c r="B70" i="12"/>
  <c r="B69" i="12"/>
  <c r="B68" i="18" l="1"/>
  <c r="F36" i="3" l="1"/>
  <c r="F38" i="3" s="1"/>
  <c r="E36" i="3"/>
  <c r="E38" i="3" s="1"/>
  <c r="F31" i="3"/>
  <c r="F33" i="3" s="1"/>
  <c r="E31" i="3"/>
  <c r="E33" i="3" s="1"/>
  <c r="K28" i="17" l="1"/>
  <c r="J28" i="17"/>
  <c r="I28" i="17"/>
  <c r="H28" i="17"/>
  <c r="G28" i="17"/>
  <c r="K24" i="17"/>
  <c r="J24" i="17"/>
  <c r="I24" i="17"/>
  <c r="H24" i="17"/>
  <c r="G24" i="17"/>
  <c r="K12" i="17"/>
  <c r="J12" i="17"/>
  <c r="I12" i="17"/>
  <c r="H12" i="17"/>
  <c r="G12" i="17"/>
  <c r="K11" i="17"/>
  <c r="J11" i="17"/>
  <c r="I11" i="17"/>
  <c r="H11" i="17"/>
  <c r="G11" i="17"/>
  <c r="B34" i="17"/>
  <c r="B13" i="17"/>
  <c r="B7" i="17"/>
  <c r="F70" i="12"/>
  <c r="F114" i="9"/>
  <c r="E114" i="9"/>
  <c r="F79" i="9"/>
  <c r="E79" i="9"/>
  <c r="F32" i="9"/>
  <c r="E32" i="9"/>
  <c r="F11" i="9"/>
  <c r="E11" i="9"/>
  <c r="K27" i="1" l="1"/>
  <c r="K34" i="17" s="1"/>
  <c r="J27" i="1"/>
  <c r="J34" i="17" s="1"/>
  <c r="I27" i="1"/>
  <c r="I34" i="17" s="1"/>
  <c r="H27" i="1"/>
  <c r="H34" i="17" s="1"/>
  <c r="G27" i="1"/>
  <c r="G34" i="17" s="1"/>
  <c r="K20" i="1"/>
  <c r="J20" i="1"/>
  <c r="I20" i="1"/>
  <c r="H20" i="1"/>
  <c r="G20" i="1"/>
  <c r="K18" i="1"/>
  <c r="J18" i="1"/>
  <c r="I18" i="1"/>
  <c r="H18" i="1"/>
  <c r="G18" i="1"/>
  <c r="F67" i="3"/>
  <c r="F27" i="1" s="1"/>
  <c r="F34" i="17" s="1"/>
  <c r="E67" i="3"/>
  <c r="E27" i="1" s="1"/>
  <c r="F62" i="3"/>
  <c r="F24" i="1" s="1"/>
  <c r="E62" i="3"/>
  <c r="E24" i="1" s="1"/>
  <c r="F52" i="3"/>
  <c r="F20" i="1" s="1"/>
  <c r="E52" i="3"/>
  <c r="E20" i="1" s="1"/>
  <c r="F48" i="3"/>
  <c r="F18" i="1" s="1"/>
  <c r="E48" i="3"/>
  <c r="E18" i="1" s="1"/>
  <c r="F12" i="1"/>
  <c r="E12" i="1"/>
  <c r="F11" i="1"/>
  <c r="E11" i="1"/>
  <c r="K23" i="3"/>
  <c r="J23" i="3"/>
  <c r="I23" i="3"/>
  <c r="H23" i="3"/>
  <c r="G23" i="3"/>
  <c r="F24" i="3"/>
  <c r="E24" i="3"/>
  <c r="F17" i="3"/>
  <c r="AJ9" i="19" s="1"/>
  <c r="E17" i="3"/>
  <c r="AI9" i="19" s="1"/>
  <c r="F11" i="3"/>
  <c r="E11" i="3"/>
  <c r="E7" i="1" s="1"/>
  <c r="E32" i="18" s="1"/>
  <c r="F14" i="12"/>
  <c r="F18" i="12" s="1"/>
  <c r="F21" i="12" s="1"/>
  <c r="F28" i="12" s="1"/>
  <c r="F31" i="12" s="1"/>
  <c r="E14" i="12"/>
  <c r="E18" i="12" s="1"/>
  <c r="E21" i="12" s="1"/>
  <c r="E28" i="12" s="1"/>
  <c r="E31" i="12" s="1"/>
  <c r="E79" i="3" s="1"/>
  <c r="F7" i="1" l="1"/>
  <c r="F37" i="18" s="1"/>
  <c r="F79" i="3"/>
  <c r="F69" i="12"/>
  <c r="E43" i="18"/>
  <c r="E45" i="18"/>
  <c r="E36" i="18"/>
  <c r="E49" i="18"/>
  <c r="E8" i="1"/>
  <c r="E33" i="18" s="1"/>
  <c r="E38" i="9"/>
  <c r="F8" i="1"/>
  <c r="F38" i="9"/>
  <c r="E37" i="18"/>
  <c r="E23" i="3"/>
  <c r="F23" i="3"/>
  <c r="F45" i="18" l="1"/>
  <c r="F33" i="18"/>
  <c r="F49" i="18"/>
  <c r="F32" i="18"/>
  <c r="F36" i="18"/>
  <c r="F10" i="18"/>
  <c r="F43" i="18"/>
  <c r="E9" i="1"/>
  <c r="F9" i="1"/>
  <c r="F13" i="1" l="1"/>
  <c r="F30" i="1" s="1"/>
  <c r="F13" i="18"/>
  <c r="AJ12" i="19" s="1"/>
  <c r="AJ11" i="19"/>
  <c r="E13" i="1"/>
  <c r="E30" i="1" s="1"/>
  <c r="AI11" i="19"/>
  <c r="E13" i="18"/>
  <c r="AI12" i="19" s="1"/>
  <c r="F29" i="1"/>
  <c r="F34" i="18"/>
  <c r="E34" i="18"/>
  <c r="E29" i="1"/>
  <c r="F38" i="18" l="1"/>
  <c r="E15" i="18"/>
  <c r="F15" i="18"/>
  <c r="F14" i="18"/>
  <c r="E38" i="18"/>
  <c r="E14" i="18"/>
  <c r="K97" i="9"/>
  <c r="J97" i="9"/>
  <c r="I97" i="9"/>
  <c r="H97" i="9"/>
  <c r="G97" i="9"/>
  <c r="F97" i="9"/>
  <c r="E97" i="9"/>
  <c r="K96" i="9"/>
  <c r="J96" i="9"/>
  <c r="J24" i="7" s="1"/>
  <c r="I96" i="9"/>
  <c r="I24" i="7" s="1"/>
  <c r="H96" i="9"/>
  <c r="H24" i="7" s="1"/>
  <c r="G96" i="9"/>
  <c r="G24" i="7" s="1"/>
  <c r="K95" i="9"/>
  <c r="K32" i="17" s="1"/>
  <c r="J95" i="9"/>
  <c r="J32" i="17" s="1"/>
  <c r="I95" i="9"/>
  <c r="I32" i="17" s="1"/>
  <c r="H95" i="9"/>
  <c r="H32" i="17" s="1"/>
  <c r="G95" i="9"/>
  <c r="G32" i="17" s="1"/>
  <c r="F95" i="9"/>
  <c r="E95" i="9"/>
  <c r="G82" i="9"/>
  <c r="F55" i="3"/>
  <c r="E55" i="3"/>
  <c r="F105" i="9"/>
  <c r="E105" i="9"/>
  <c r="F71" i="9"/>
  <c r="E71" i="9"/>
  <c r="E96" i="9" s="1"/>
  <c r="E24" i="7" s="1"/>
  <c r="E73" i="9"/>
  <c r="K24" i="7" l="1"/>
  <c r="K110" i="9"/>
  <c r="F96" i="9"/>
  <c r="F24" i="7" s="1"/>
  <c r="F69" i="9"/>
  <c r="F94" i="9"/>
  <c r="F98" i="9" s="1"/>
  <c r="F74" i="9"/>
  <c r="B16" i="24" s="1"/>
  <c r="H110" i="9"/>
  <c r="I110" i="9"/>
  <c r="J110" i="9"/>
  <c r="F110" i="9"/>
  <c r="E110" i="9"/>
  <c r="G110" i="9"/>
  <c r="G86" i="9"/>
  <c r="H82" i="9" s="1"/>
  <c r="H86" i="9" s="1"/>
  <c r="E76" i="9"/>
  <c r="E100" i="9" s="1"/>
  <c r="E69" i="9"/>
  <c r="E94" i="9" s="1"/>
  <c r="E98" i="9" s="1"/>
  <c r="E5" i="1"/>
  <c r="G88" i="9" l="1"/>
  <c r="I82" i="9"/>
  <c r="I86" i="9" s="1"/>
  <c r="H88" i="9"/>
  <c r="G69" i="9"/>
  <c r="F76" i="9"/>
  <c r="F100" i="9" s="1"/>
  <c r="F9" i="12"/>
  <c r="G91" i="9" l="1"/>
  <c r="G89" i="9"/>
  <c r="H89" i="9"/>
  <c r="F77" i="9"/>
  <c r="F101" i="9" s="1"/>
  <c r="G73" i="9"/>
  <c r="G76" i="9" s="1"/>
  <c r="G100" i="9" s="1"/>
  <c r="G94" i="9"/>
  <c r="G98" i="9" s="1"/>
  <c r="I88" i="9"/>
  <c r="I91" i="9" s="1"/>
  <c r="J82" i="9"/>
  <c r="J86" i="9" s="1"/>
  <c r="H91" i="9"/>
  <c r="F78" i="9"/>
  <c r="F5" i="1"/>
  <c r="G9" i="12"/>
  <c r="H69" i="9" l="1"/>
  <c r="H73" i="9" s="1"/>
  <c r="H76" i="9" s="1"/>
  <c r="H100" i="9" s="1"/>
  <c r="I89" i="9"/>
  <c r="G79" i="9"/>
  <c r="G104" i="9" s="1"/>
  <c r="G77" i="9"/>
  <c r="G101" i="9" s="1"/>
  <c r="G31" i="17" s="1"/>
  <c r="J88" i="9"/>
  <c r="K82" i="9"/>
  <c r="K86" i="9" s="1"/>
  <c r="K88" i="9" s="1"/>
  <c r="G5" i="1"/>
  <c r="H9" i="12"/>
  <c r="G35" i="12"/>
  <c r="H94" i="9" l="1"/>
  <c r="H98" i="9" s="1"/>
  <c r="I69" i="9"/>
  <c r="I73" i="9" s="1"/>
  <c r="H79" i="9"/>
  <c r="H105" i="9" s="1"/>
  <c r="H104" i="9" s="1"/>
  <c r="H77" i="9"/>
  <c r="H101" i="9" s="1"/>
  <c r="H31" i="17" s="1"/>
  <c r="K89" i="9"/>
  <c r="J89" i="9"/>
  <c r="K91" i="9"/>
  <c r="J91" i="9"/>
  <c r="I9" i="12"/>
  <c r="H35" i="12"/>
  <c r="H5" i="1"/>
  <c r="J69" i="9" l="1"/>
  <c r="J73" i="9" s="1"/>
  <c r="J76" i="9" s="1"/>
  <c r="J100" i="9" s="1"/>
  <c r="I76" i="9"/>
  <c r="I94" i="9"/>
  <c r="I98" i="9" s="1"/>
  <c r="J9" i="12"/>
  <c r="I5" i="1"/>
  <c r="I35" i="12"/>
  <c r="I77" i="9" l="1"/>
  <c r="I101" i="9" s="1"/>
  <c r="I31" i="17" s="1"/>
  <c r="I100" i="9"/>
  <c r="I79" i="9"/>
  <c r="I105" i="9" s="1"/>
  <c r="J94" i="9"/>
  <c r="J98" i="9" s="1"/>
  <c r="J79" i="9"/>
  <c r="J105" i="9" s="1"/>
  <c r="J77" i="9"/>
  <c r="J101" i="9" s="1"/>
  <c r="J31" i="17" s="1"/>
  <c r="K69" i="9"/>
  <c r="K9" i="12"/>
  <c r="J35" i="12"/>
  <c r="J5" i="1"/>
  <c r="J104" i="9" l="1"/>
  <c r="I104" i="9"/>
  <c r="K73" i="9"/>
  <c r="K76" i="9" s="1"/>
  <c r="K100" i="9" s="1"/>
  <c r="K94" i="9"/>
  <c r="K98" i="9" s="1"/>
  <c r="K35" i="12"/>
  <c r="K5" i="1"/>
  <c r="K77" i="9" l="1"/>
  <c r="K101" i="9" s="1"/>
  <c r="K31" i="17" s="1"/>
  <c r="K79" i="9"/>
  <c r="K105" i="9" s="1"/>
  <c r="K104" i="9" s="1"/>
  <c r="F49" i="9"/>
  <c r="F13" i="7" s="1"/>
  <c r="G39" i="17" s="1"/>
  <c r="E49" i="9"/>
  <c r="E13" i="7" s="1"/>
  <c r="F27" i="9"/>
  <c r="E27" i="9" l="1"/>
  <c r="K25" i="9"/>
  <c r="K84" i="3" s="1"/>
  <c r="J25" i="9"/>
  <c r="J84" i="3" s="1"/>
  <c r="I25" i="9"/>
  <c r="I84" i="3" s="1"/>
  <c r="H25" i="9"/>
  <c r="H84" i="3" s="1"/>
  <c r="G25" i="9"/>
  <c r="G84" i="3" s="1"/>
  <c r="K24" i="9"/>
  <c r="K31" i="9" s="1"/>
  <c r="K32" i="9" s="1"/>
  <c r="J24" i="9"/>
  <c r="J31" i="9" s="1"/>
  <c r="J32" i="9" s="1"/>
  <c r="I24" i="9"/>
  <c r="I31" i="9" s="1"/>
  <c r="I32" i="9" s="1"/>
  <c r="H24" i="9"/>
  <c r="H31" i="9" s="1"/>
  <c r="H32" i="9" s="1"/>
  <c r="G24" i="9"/>
  <c r="G31" i="9" s="1"/>
  <c r="G32" i="9" s="1"/>
  <c r="F24" i="9"/>
  <c r="F31" i="9" s="1"/>
  <c r="K23" i="9"/>
  <c r="K27" i="17" s="1"/>
  <c r="K29" i="17" s="1"/>
  <c r="J23" i="9"/>
  <c r="J27" i="17" s="1"/>
  <c r="J29" i="17" s="1"/>
  <c r="I23" i="9"/>
  <c r="I27" i="17" s="1"/>
  <c r="I29" i="17" s="1"/>
  <c r="H23" i="9"/>
  <c r="H27" i="17" s="1"/>
  <c r="H29" i="17" s="1"/>
  <c r="G23" i="9"/>
  <c r="G27" i="17" s="1"/>
  <c r="G29" i="17" s="1"/>
  <c r="F23" i="9"/>
  <c r="E24" i="9"/>
  <c r="E31" i="9" s="1"/>
  <c r="E23" i="9"/>
  <c r="E12" i="9"/>
  <c r="F8" i="9" s="1"/>
  <c r="F25" i="9"/>
  <c r="F84" i="3" s="1"/>
  <c r="E25" i="9"/>
  <c r="E84" i="3" s="1"/>
  <c r="G15" i="9"/>
  <c r="G19" i="9" s="1"/>
  <c r="H15" i="9" s="1"/>
  <c r="H19" i="9" s="1"/>
  <c r="I15" i="9" s="1"/>
  <c r="I19" i="9" s="1"/>
  <c r="J15" i="9" s="1"/>
  <c r="J19" i="9" s="1"/>
  <c r="K15" i="9" s="1"/>
  <c r="K19" i="9" s="1"/>
  <c r="F12" i="9" l="1"/>
  <c r="G8" i="9" s="1"/>
  <c r="G12" i="9" s="1"/>
  <c r="H8" i="9" s="1"/>
  <c r="H12" i="9" s="1"/>
  <c r="I8" i="9" s="1"/>
  <c r="I12" i="9" s="1"/>
  <c r="J8" i="9" s="1"/>
  <c r="J12" i="9" s="1"/>
  <c r="K8" i="9" s="1"/>
  <c r="K12" i="9" s="1"/>
  <c r="E8" i="9"/>
  <c r="AI3" i="19"/>
  <c r="E22" i="9" l="1"/>
  <c r="E26" i="9" s="1"/>
  <c r="B120" i="9" l="1"/>
  <c r="B37" i="9"/>
  <c r="F15" i="3"/>
  <c r="E15" i="3"/>
  <c r="F120" i="9"/>
  <c r="E120" i="9"/>
  <c r="E37" i="9" l="1"/>
  <c r="F37" i="9"/>
  <c r="E19" i="3"/>
  <c r="F19" i="3"/>
  <c r="E9" i="3"/>
  <c r="F9" i="3"/>
  <c r="E26" i="3" l="1"/>
  <c r="E40" i="3" s="1"/>
  <c r="E35" i="3"/>
  <c r="F26" i="3"/>
  <c r="F40" i="3" s="1"/>
  <c r="F35" i="3"/>
  <c r="F9" i="18"/>
  <c r="E9" i="18"/>
  <c r="K8" i="18"/>
  <c r="J8" i="18"/>
  <c r="I8" i="18"/>
  <c r="H8" i="18"/>
  <c r="G8" i="18"/>
  <c r="F8" i="18"/>
  <c r="E8" i="18"/>
  <c r="F32" i="17" l="1"/>
  <c r="E22" i="7" l="1"/>
  <c r="F27" i="17"/>
  <c r="F12" i="17"/>
  <c r="F24" i="17"/>
  <c r="F11" i="17"/>
  <c r="K42" i="3"/>
  <c r="J42" i="3"/>
  <c r="I42" i="3"/>
  <c r="H42" i="3"/>
  <c r="G42" i="3"/>
  <c r="F22" i="9"/>
  <c r="F26" i="9" s="1"/>
  <c r="E5" i="7"/>
  <c r="F42" i="3"/>
  <c r="E42" i="3"/>
  <c r="K15" i="1" l="1"/>
  <c r="K85" i="3"/>
  <c r="K86" i="3" s="1"/>
  <c r="H15" i="1"/>
  <c r="H10" i="17" s="1"/>
  <c r="H85" i="3"/>
  <c r="H86" i="3" s="1"/>
  <c r="I15" i="1"/>
  <c r="I10" i="17" s="1"/>
  <c r="I85" i="3"/>
  <c r="I86" i="3" s="1"/>
  <c r="J15" i="1"/>
  <c r="J85" i="3"/>
  <c r="J86" i="3" s="1"/>
  <c r="E15" i="1"/>
  <c r="E85" i="3"/>
  <c r="E86" i="3" s="1"/>
  <c r="F15" i="1"/>
  <c r="F40" i="18" s="1"/>
  <c r="F85" i="3"/>
  <c r="F86" i="3" s="1"/>
  <c r="G15" i="1"/>
  <c r="G85" i="3"/>
  <c r="G86" i="3" s="1"/>
  <c r="J10" i="17"/>
  <c r="E16" i="1"/>
  <c r="E40" i="18"/>
  <c r="K10" i="17"/>
  <c r="G10" i="17"/>
  <c r="F22" i="7"/>
  <c r="F7" i="7"/>
  <c r="E7" i="7"/>
  <c r="E63" i="9"/>
  <c r="F112" i="9"/>
  <c r="E112" i="9"/>
  <c r="E54" i="3"/>
  <c r="E56" i="3" s="1"/>
  <c r="E21" i="1" s="1"/>
  <c r="F54" i="3"/>
  <c r="F56" i="3" s="1"/>
  <c r="F21" i="1" s="1"/>
  <c r="F46" i="18" s="1"/>
  <c r="F55" i="9"/>
  <c r="E55" i="9"/>
  <c r="K35" i="3"/>
  <c r="J35" i="3"/>
  <c r="I35" i="3"/>
  <c r="H35" i="3"/>
  <c r="G35" i="3"/>
  <c r="K30" i="3"/>
  <c r="J30" i="3"/>
  <c r="I30" i="3"/>
  <c r="H30" i="3"/>
  <c r="G30" i="3"/>
  <c r="F16" i="1" l="1"/>
  <c r="F16" i="18" s="1"/>
  <c r="F10" i="17"/>
  <c r="B13" i="24"/>
  <c r="E59" i="9"/>
  <c r="F64" i="9"/>
  <c r="B15" i="24" s="1"/>
  <c r="E21" i="18"/>
  <c r="E46" i="18"/>
  <c r="E16" i="18"/>
  <c r="E31" i="1"/>
  <c r="E41" i="18"/>
  <c r="F21" i="18"/>
  <c r="F104" i="9"/>
  <c r="G22" i="9"/>
  <c r="G22" i="7"/>
  <c r="G59" i="9"/>
  <c r="G63" i="9" s="1"/>
  <c r="G20" i="7" s="1"/>
  <c r="F20" i="7"/>
  <c r="E20" i="7"/>
  <c r="K14" i="3"/>
  <c r="J14" i="3"/>
  <c r="I14" i="3"/>
  <c r="H14" i="3"/>
  <c r="G14" i="3"/>
  <c r="F10" i="3"/>
  <c r="E5" i="3"/>
  <c r="E72" i="3" s="1"/>
  <c r="E35" i="12"/>
  <c r="F41" i="18" l="1"/>
  <c r="F31" i="1"/>
  <c r="G26" i="9"/>
  <c r="F31" i="17"/>
  <c r="F102" i="9"/>
  <c r="F22" i="18" s="1"/>
  <c r="F30" i="3"/>
  <c r="AJ8" i="19"/>
  <c r="E30" i="3"/>
  <c r="AI8" i="19"/>
  <c r="H22" i="7"/>
  <c r="E46" i="3"/>
  <c r="E64" i="3"/>
  <c r="E58" i="3"/>
  <c r="E21" i="3"/>
  <c r="E28" i="3"/>
  <c r="F68" i="12"/>
  <c r="B51" i="12"/>
  <c r="B49" i="12"/>
  <c r="G7" i="7" l="1"/>
  <c r="H22" i="9"/>
  <c r="G102" i="9"/>
  <c r="G15" i="3"/>
  <c r="I22" i="7"/>
  <c r="F14" i="3"/>
  <c r="E5" i="9"/>
  <c r="E57" i="9" s="1"/>
  <c r="E5" i="18"/>
  <c r="G17" i="3" l="1"/>
  <c r="AK9" i="19" s="1"/>
  <c r="H26" i="9"/>
  <c r="H102" i="9"/>
  <c r="H15" i="3"/>
  <c r="J22" i="7"/>
  <c r="H17" i="3" l="1"/>
  <c r="AL9" i="19" s="1"/>
  <c r="I22" i="9"/>
  <c r="I26" i="9" s="1"/>
  <c r="H7" i="7"/>
  <c r="I102" i="9"/>
  <c r="I15" i="3"/>
  <c r="K22" i="7"/>
  <c r="AJ3" i="19"/>
  <c r="AK3" i="19" s="1"/>
  <c r="AL3" i="19" s="1"/>
  <c r="AM3" i="19" s="1"/>
  <c r="AN3" i="19" s="1"/>
  <c r="AO3" i="19" s="1"/>
  <c r="I17" i="3" l="1"/>
  <c r="AM9" i="19" s="1"/>
  <c r="J22" i="9"/>
  <c r="J26" i="9" s="1"/>
  <c r="I7" i="7"/>
  <c r="J102" i="9"/>
  <c r="J15" i="3"/>
  <c r="B40" i="17"/>
  <c r="B78" i="18"/>
  <c r="B76" i="18"/>
  <c r="B75" i="18"/>
  <c r="B74" i="18"/>
  <c r="B73" i="18"/>
  <c r="B72" i="18"/>
  <c r="B70" i="18"/>
  <c r="B66" i="18"/>
  <c r="B64" i="18"/>
  <c r="B62" i="18"/>
  <c r="B61" i="18"/>
  <c r="B60" i="18"/>
  <c r="B59" i="18"/>
  <c r="B58" i="18"/>
  <c r="B56" i="18"/>
  <c r="B55" i="18"/>
  <c r="E53" i="18"/>
  <c r="E30" i="18"/>
  <c r="J17" i="3" l="1"/>
  <c r="AN9" i="19" s="1"/>
  <c r="J7" i="7"/>
  <c r="K22" i="9"/>
  <c r="K26" i="9" s="1"/>
  <c r="K102" i="9"/>
  <c r="K15" i="3"/>
  <c r="K17" i="3" s="1"/>
  <c r="AO9" i="19" s="1"/>
  <c r="K7" i="7" l="1"/>
  <c r="B21" i="17"/>
  <c r="B20" i="17"/>
  <c r="B19" i="17"/>
  <c r="B18" i="17"/>
  <c r="B17" i="17"/>
  <c r="E124" i="9"/>
  <c r="E108" i="9"/>
  <c r="E66" i="9"/>
  <c r="E51" i="9"/>
  <c r="E34" i="9"/>
  <c r="B54" i="9"/>
  <c r="F53" i="9"/>
  <c r="G53" i="9"/>
  <c r="B49" i="9"/>
  <c r="M31" i="9"/>
  <c r="F44" i="3" l="1"/>
  <c r="E44" i="3"/>
  <c r="E30" i="9"/>
  <c r="F30" i="9" l="1"/>
  <c r="F28" i="17" s="1"/>
  <c r="F29" i="17" s="1"/>
  <c r="K50" i="3"/>
  <c r="J50" i="3"/>
  <c r="I50" i="3"/>
  <c r="H50" i="3"/>
  <c r="G50" i="3"/>
  <c r="G19" i="1" s="1"/>
  <c r="F50" i="3"/>
  <c r="E50" i="3"/>
  <c r="G13" i="17" l="1"/>
  <c r="I19" i="1"/>
  <c r="J19" i="1"/>
  <c r="K19" i="1"/>
  <c r="E19" i="1"/>
  <c r="F19" i="1"/>
  <c r="F44" i="18" s="1"/>
  <c r="H19" i="1"/>
  <c r="F18" i="7"/>
  <c r="E18" i="7"/>
  <c r="K113" i="9"/>
  <c r="J113" i="9"/>
  <c r="I113" i="9"/>
  <c r="H113" i="9"/>
  <c r="G113" i="9"/>
  <c r="B112" i="9"/>
  <c r="B110" i="9"/>
  <c r="J13" i="17" l="1"/>
  <c r="H13" i="17"/>
  <c r="E22" i="1"/>
  <c r="E44" i="18"/>
  <c r="K13" i="17"/>
  <c r="I13" i="17"/>
  <c r="F22" i="1"/>
  <c r="F13" i="17"/>
  <c r="F61" i="3"/>
  <c r="E61" i="3"/>
  <c r="F113" i="9"/>
  <c r="H114" i="9"/>
  <c r="H55" i="3" s="1"/>
  <c r="G114" i="9"/>
  <c r="G55" i="3" s="1"/>
  <c r="I114" i="9"/>
  <c r="I55" i="3" s="1"/>
  <c r="J114" i="9"/>
  <c r="J55" i="3" s="1"/>
  <c r="K114" i="9"/>
  <c r="K55" i="3" s="1"/>
  <c r="K25" i="7"/>
  <c r="J25" i="7"/>
  <c r="H25" i="7"/>
  <c r="G25" i="7"/>
  <c r="I25" i="7"/>
  <c r="F25" i="7"/>
  <c r="E25" i="7"/>
  <c r="F59" i="12"/>
  <c r="F61" i="12" s="1"/>
  <c r="E59" i="12"/>
  <c r="E61" i="12" s="1"/>
  <c r="AJ22" i="19"/>
  <c r="AI22" i="19"/>
  <c r="B55" i="12"/>
  <c r="I33" i="17" l="1"/>
  <c r="I35" i="17" s="1"/>
  <c r="G33" i="17"/>
  <c r="G35" i="17" s="1"/>
  <c r="K33" i="17"/>
  <c r="K35" i="17" s="1"/>
  <c r="H33" i="17"/>
  <c r="H35" i="17" s="1"/>
  <c r="J33" i="17"/>
  <c r="J35" i="17" s="1"/>
  <c r="E25" i="1"/>
  <c r="AI14" i="19" s="1"/>
  <c r="E47" i="18"/>
  <c r="F25" i="1"/>
  <c r="AJ14" i="19" s="1"/>
  <c r="F47" i="18"/>
  <c r="F39" i="17"/>
  <c r="F33" i="17"/>
  <c r="F43" i="17"/>
  <c r="F122" i="9"/>
  <c r="E122" i="9"/>
  <c r="B122" i="9"/>
  <c r="K121" i="9"/>
  <c r="J121" i="9"/>
  <c r="I121" i="9"/>
  <c r="H121" i="9"/>
  <c r="G121" i="9"/>
  <c r="K46" i="9"/>
  <c r="J46" i="9"/>
  <c r="I46" i="9"/>
  <c r="H46" i="9"/>
  <c r="G46" i="9"/>
  <c r="F47" i="9"/>
  <c r="E47" i="9"/>
  <c r="B47" i="9"/>
  <c r="K117" i="9"/>
  <c r="J117" i="9"/>
  <c r="I117" i="9"/>
  <c r="H117" i="9"/>
  <c r="G117" i="9"/>
  <c r="F118" i="9"/>
  <c r="E118" i="9"/>
  <c r="B118" i="9"/>
  <c r="F41" i="9"/>
  <c r="F40" i="9" s="1"/>
  <c r="E41" i="9"/>
  <c r="E40" i="9" s="1"/>
  <c r="B41" i="9"/>
  <c r="K40" i="9"/>
  <c r="J40" i="9"/>
  <c r="I40" i="9"/>
  <c r="H40" i="9"/>
  <c r="G40" i="9"/>
  <c r="F44" i="9"/>
  <c r="F43" i="9" s="1"/>
  <c r="E44" i="9"/>
  <c r="E43" i="9" s="1"/>
  <c r="B44" i="9"/>
  <c r="K43" i="9"/>
  <c r="J43" i="9"/>
  <c r="I43" i="9"/>
  <c r="H43" i="9"/>
  <c r="G43" i="9"/>
  <c r="B61" i="12"/>
  <c r="B59" i="12"/>
  <c r="B58" i="12"/>
  <c r="B57" i="12"/>
  <c r="B56" i="12"/>
  <c r="B53" i="12"/>
  <c r="B47" i="12"/>
  <c r="B45" i="12"/>
  <c r="B44" i="12"/>
  <c r="B43" i="12"/>
  <c r="B42" i="12"/>
  <c r="B41" i="12"/>
  <c r="B39" i="12"/>
  <c r="B38" i="12"/>
  <c r="K60" i="3"/>
  <c r="J60" i="3"/>
  <c r="I60" i="3"/>
  <c r="H60" i="3"/>
  <c r="G60" i="3"/>
  <c r="F50" i="18" l="1"/>
  <c r="F17" i="18"/>
  <c r="F32" i="1"/>
  <c r="F75" i="3"/>
  <c r="F7" i="17"/>
  <c r="F18" i="18"/>
  <c r="E17" i="18"/>
  <c r="E32" i="1"/>
  <c r="E50" i="18"/>
  <c r="E75" i="3"/>
  <c r="F130" i="9"/>
  <c r="E130" i="9"/>
  <c r="F126" i="9"/>
  <c r="E126" i="9"/>
  <c r="F27" i="7"/>
  <c r="F121" i="9"/>
  <c r="E27" i="7"/>
  <c r="E121" i="9"/>
  <c r="F12" i="7"/>
  <c r="F46" i="9"/>
  <c r="E12" i="7"/>
  <c r="E46" i="9"/>
  <c r="E26" i="7"/>
  <c r="E117" i="9"/>
  <c r="F26" i="7"/>
  <c r="F117" i="9"/>
  <c r="E131" i="9"/>
  <c r="E127" i="9" s="1"/>
  <c r="F131" i="9"/>
  <c r="F127" i="9" s="1"/>
  <c r="F35" i="17"/>
  <c r="E10" i="7"/>
  <c r="F11" i="7"/>
  <c r="F10" i="7"/>
  <c r="E11" i="7"/>
  <c r="F128" i="9" l="1"/>
  <c r="F132" i="9"/>
  <c r="E128" i="9"/>
  <c r="E132" i="9" s="1"/>
  <c r="F21" i="17"/>
  <c r="F20" i="17"/>
  <c r="F19" i="17"/>
  <c r="AL5" i="19"/>
  <c r="AM5" i="19"/>
  <c r="AN5" i="19"/>
  <c r="AO5" i="19"/>
  <c r="AI5" i="19"/>
  <c r="AJ5" i="19"/>
  <c r="AK5" i="19"/>
  <c r="F18" i="17"/>
  <c r="F17" i="17"/>
  <c r="G54" i="3"/>
  <c r="K10" i="3"/>
  <c r="J10" i="3"/>
  <c r="I10" i="3"/>
  <c r="H10" i="3"/>
  <c r="G10" i="3"/>
  <c r="F22" i="17" l="1"/>
  <c r="AJ6" i="19"/>
  <c r="AI6" i="19"/>
  <c r="F66" i="3"/>
  <c r="E66" i="3"/>
  <c r="E69" i="3" l="1"/>
  <c r="E74" i="3"/>
  <c r="E78" i="3" s="1"/>
  <c r="E70" i="3"/>
  <c r="F69" i="3"/>
  <c r="F74" i="3"/>
  <c r="F78" i="3" s="1"/>
  <c r="F70" i="3"/>
  <c r="E80" i="3" l="1"/>
  <c r="F80" i="3"/>
  <c r="H54" i="3"/>
  <c r="B12" i="24" l="1"/>
  <c r="F5" i="18"/>
  <c r="F5" i="9"/>
  <c r="F35" i="12"/>
  <c r="F5" i="7"/>
  <c r="F5" i="17"/>
  <c r="F5" i="3"/>
  <c r="I54" i="3"/>
  <c r="G5" i="18" l="1"/>
  <c r="G5" i="9"/>
  <c r="F108" i="9"/>
  <c r="F57" i="9"/>
  <c r="F124" i="9"/>
  <c r="F34" i="9"/>
  <c r="F66" i="9"/>
  <c r="F51" i="9"/>
  <c r="F53" i="18"/>
  <c r="F30" i="18"/>
  <c r="G5" i="17"/>
  <c r="G5" i="7"/>
  <c r="G5" i="3"/>
  <c r="F72" i="3"/>
  <c r="F21" i="3"/>
  <c r="F46" i="3"/>
  <c r="F28" i="3"/>
  <c r="F58" i="3"/>
  <c r="F64" i="3"/>
  <c r="F39" i="12"/>
  <c r="E39" i="12"/>
  <c r="H5" i="18" l="1"/>
  <c r="H5" i="9"/>
  <c r="G57" i="9"/>
  <c r="G66" i="9"/>
  <c r="G124" i="9"/>
  <c r="G51" i="9"/>
  <c r="G34" i="9"/>
  <c r="G108" i="9"/>
  <c r="G30" i="18"/>
  <c r="G53" i="18"/>
  <c r="H5" i="17"/>
  <c r="H5" i="7"/>
  <c r="H5" i="3"/>
  <c r="G72" i="3"/>
  <c r="G46" i="3"/>
  <c r="G28" i="3"/>
  <c r="G58" i="3"/>
  <c r="G64" i="3"/>
  <c r="G21" i="3"/>
  <c r="J54" i="3"/>
  <c r="I5" i="18" l="1"/>
  <c r="I5" i="9"/>
  <c r="H57" i="9"/>
  <c r="H124" i="9"/>
  <c r="H66" i="9"/>
  <c r="H108" i="9"/>
  <c r="H51" i="9"/>
  <c r="H34" i="9"/>
  <c r="H30" i="18"/>
  <c r="H53" i="18"/>
  <c r="I5" i="17"/>
  <c r="I5" i="7"/>
  <c r="I5" i="3"/>
  <c r="H72" i="3"/>
  <c r="H64" i="3"/>
  <c r="H21" i="3"/>
  <c r="H46" i="3"/>
  <c r="H28" i="3"/>
  <c r="H58" i="3"/>
  <c r="J56" i="3"/>
  <c r="I56" i="3"/>
  <c r="G56" i="3"/>
  <c r="H56" i="3"/>
  <c r="F45" i="12"/>
  <c r="F47" i="12" s="1"/>
  <c r="F66" i="12" s="1"/>
  <c r="E45" i="12"/>
  <c r="E47" i="12" s="1"/>
  <c r="H21" i="1" l="1"/>
  <c r="G21" i="1"/>
  <c r="I21" i="1"/>
  <c r="J21" i="1"/>
  <c r="I34" i="9"/>
  <c r="I66" i="9"/>
  <c r="I124" i="9"/>
  <c r="I57" i="9"/>
  <c r="I108" i="9"/>
  <c r="I51" i="9"/>
  <c r="J5" i="18"/>
  <c r="J5" i="9"/>
  <c r="I53" i="18"/>
  <c r="I30" i="18"/>
  <c r="J5" i="17"/>
  <c r="J5" i="7"/>
  <c r="J5" i="3"/>
  <c r="I72" i="3"/>
  <c r="I46" i="3"/>
  <c r="I21" i="3"/>
  <c r="I58" i="3"/>
  <c r="I64" i="3"/>
  <c r="I28" i="3"/>
  <c r="K54" i="3"/>
  <c r="K56" i="3" s="1"/>
  <c r="E66" i="12"/>
  <c r="E74" i="12" s="1"/>
  <c r="K21" i="1" l="1"/>
  <c r="J53" i="18"/>
  <c r="J30" i="18"/>
  <c r="K5" i="9"/>
  <c r="K5" i="18"/>
  <c r="J57" i="9"/>
  <c r="J51" i="9"/>
  <c r="J124" i="9"/>
  <c r="J34" i="9"/>
  <c r="J108" i="9"/>
  <c r="J66" i="9"/>
  <c r="K5" i="7"/>
  <c r="K5" i="17"/>
  <c r="K5" i="3"/>
  <c r="J72" i="3"/>
  <c r="J28" i="3"/>
  <c r="J21" i="3"/>
  <c r="J46" i="3"/>
  <c r="J58" i="3"/>
  <c r="J64" i="3"/>
  <c r="E8" i="7"/>
  <c r="F8" i="7"/>
  <c r="K53" i="18" l="1"/>
  <c r="K30" i="18"/>
  <c r="K51" i="9"/>
  <c r="K108" i="9"/>
  <c r="K124" i="9"/>
  <c r="K66" i="9"/>
  <c r="K57" i="9"/>
  <c r="K34" i="9"/>
  <c r="K72" i="3"/>
  <c r="K58" i="3"/>
  <c r="K28" i="3"/>
  <c r="K64" i="3"/>
  <c r="K46" i="3"/>
  <c r="K21" i="3"/>
  <c r="G9" i="3" l="1"/>
  <c r="G11" i="3" l="1"/>
  <c r="G9" i="18"/>
  <c r="AK6" i="19" s="1"/>
  <c r="H9" i="3"/>
  <c r="G7" i="1" l="1"/>
  <c r="G32" i="18" s="1"/>
  <c r="G31" i="3"/>
  <c r="G33" i="3" s="1"/>
  <c r="G24" i="3"/>
  <c r="G37" i="9"/>
  <c r="G120" i="9"/>
  <c r="G19" i="3"/>
  <c r="G36" i="3" s="1"/>
  <c r="G38" i="3" s="1"/>
  <c r="H11" i="3"/>
  <c r="H9" i="18"/>
  <c r="AL6" i="19" s="1"/>
  <c r="AK8" i="19"/>
  <c r="I9" i="3"/>
  <c r="G46" i="18" l="1"/>
  <c r="G44" i="18"/>
  <c r="G45" i="18"/>
  <c r="G10" i="18"/>
  <c r="G40" i="18"/>
  <c r="G43" i="18"/>
  <c r="H7" i="1"/>
  <c r="H44" i="18" s="1"/>
  <c r="H31" i="3"/>
  <c r="H33" i="3" s="1"/>
  <c r="G8" i="1"/>
  <c r="G38" i="9"/>
  <c r="G41" i="9" s="1"/>
  <c r="G26" i="3"/>
  <c r="G11" i="1"/>
  <c r="G36" i="18" s="1"/>
  <c r="H24" i="3"/>
  <c r="H37" i="9"/>
  <c r="H120" i="9"/>
  <c r="H19" i="3"/>
  <c r="H36" i="3" s="1"/>
  <c r="H38" i="3" s="1"/>
  <c r="G122" i="9"/>
  <c r="I11" i="3"/>
  <c r="I9" i="18"/>
  <c r="AM6" i="19" s="1"/>
  <c r="AL8" i="19"/>
  <c r="J9" i="3"/>
  <c r="AJ24" i="19"/>
  <c r="AJ25" i="19"/>
  <c r="H45" i="18" l="1"/>
  <c r="H10" i="18"/>
  <c r="H40" i="18"/>
  <c r="H43" i="18"/>
  <c r="H32" i="18"/>
  <c r="H46" i="18"/>
  <c r="I7" i="1"/>
  <c r="I43" i="18" s="1"/>
  <c r="I31" i="3"/>
  <c r="I33" i="3" s="1"/>
  <c r="H8" i="1"/>
  <c r="H38" i="9"/>
  <c r="H41" i="9" s="1"/>
  <c r="G33" i="18"/>
  <c r="G9" i="1"/>
  <c r="H26" i="3"/>
  <c r="G12" i="1"/>
  <c r="H11" i="1"/>
  <c r="H36" i="18" s="1"/>
  <c r="I24" i="3"/>
  <c r="G40" i="3"/>
  <c r="I37" i="9"/>
  <c r="I120" i="9"/>
  <c r="G118" i="9"/>
  <c r="G44" i="9"/>
  <c r="G11" i="7" s="1"/>
  <c r="G47" i="9"/>
  <c r="I19" i="3"/>
  <c r="I36" i="3" s="1"/>
  <c r="I38" i="3" s="1"/>
  <c r="H122" i="9"/>
  <c r="J11" i="3"/>
  <c r="J9" i="18"/>
  <c r="AN6" i="19" s="1"/>
  <c r="AM8" i="19"/>
  <c r="F60" i="3"/>
  <c r="K9" i="3"/>
  <c r="I46" i="18" l="1"/>
  <c r="I32" i="18"/>
  <c r="I10" i="18"/>
  <c r="I44" i="18"/>
  <c r="I45" i="18"/>
  <c r="AK11" i="19"/>
  <c r="G13" i="18"/>
  <c r="AK12" i="19" s="1"/>
  <c r="I40" i="18"/>
  <c r="J7" i="1"/>
  <c r="J40" i="18" s="1"/>
  <c r="J31" i="3"/>
  <c r="J33" i="3" s="1"/>
  <c r="G18" i="17"/>
  <c r="G34" i="18"/>
  <c r="G29" i="1"/>
  <c r="G13" i="1"/>
  <c r="G22" i="18" s="1"/>
  <c r="G37" i="18"/>
  <c r="I8" i="1"/>
  <c r="I33" i="18" s="1"/>
  <c r="I38" i="9"/>
  <c r="I41" i="9" s="1"/>
  <c r="H33" i="18"/>
  <c r="H9" i="1"/>
  <c r="J24" i="3"/>
  <c r="H12" i="1"/>
  <c r="I11" i="1"/>
  <c r="I36" i="18" s="1"/>
  <c r="H40" i="3"/>
  <c r="H44" i="3" s="1"/>
  <c r="H61" i="3" s="1"/>
  <c r="I26" i="3"/>
  <c r="J37" i="9"/>
  <c r="J120" i="9"/>
  <c r="G126" i="9"/>
  <c r="H44" i="9"/>
  <c r="H11" i="7" s="1"/>
  <c r="H47" i="9"/>
  <c r="H12" i="7" s="1"/>
  <c r="I122" i="9"/>
  <c r="H118" i="9"/>
  <c r="H26" i="7" s="1"/>
  <c r="J19" i="3"/>
  <c r="J36" i="3" s="1"/>
  <c r="J38" i="3" s="1"/>
  <c r="AJ15" i="19"/>
  <c r="K11" i="3"/>
  <c r="K9" i="18"/>
  <c r="AO6" i="19" s="1"/>
  <c r="AN8" i="19"/>
  <c r="G27" i="7"/>
  <c r="G21" i="17" s="1"/>
  <c r="G26" i="7"/>
  <c r="G20" i="17" s="1"/>
  <c r="G12" i="7"/>
  <c r="H27" i="7"/>
  <c r="F54" i="9"/>
  <c r="F71" i="12"/>
  <c r="F72" i="12" s="1"/>
  <c r="F74" i="12" s="1"/>
  <c r="F36" i="12" s="1"/>
  <c r="AJ16" i="19"/>
  <c r="F14" i="17"/>
  <c r="J46" i="18" l="1"/>
  <c r="J44" i="18"/>
  <c r="J43" i="18"/>
  <c r="J45" i="18"/>
  <c r="J10" i="18"/>
  <c r="J32" i="18"/>
  <c r="H13" i="18"/>
  <c r="AL12" i="19" s="1"/>
  <c r="AL11" i="19"/>
  <c r="K7" i="1"/>
  <c r="K10" i="18" s="1"/>
  <c r="K31" i="3"/>
  <c r="K33" i="3" s="1"/>
  <c r="G14" i="18"/>
  <c r="I9" i="1"/>
  <c r="G21" i="18"/>
  <c r="H20" i="17"/>
  <c r="H13" i="1"/>
  <c r="H21" i="18" s="1"/>
  <c r="H37" i="18"/>
  <c r="J8" i="1"/>
  <c r="J38" i="9"/>
  <c r="J41" i="9" s="1"/>
  <c r="G15" i="18"/>
  <c r="G30" i="1"/>
  <c r="G38" i="18"/>
  <c r="H21" i="17"/>
  <c r="G16" i="1"/>
  <c r="G22" i="1" s="1"/>
  <c r="G47" i="18" s="1"/>
  <c r="H19" i="17"/>
  <c r="G19" i="17"/>
  <c r="H29" i="1"/>
  <c r="H34" i="18"/>
  <c r="H18" i="17"/>
  <c r="K24" i="3"/>
  <c r="J26" i="3"/>
  <c r="J11" i="1"/>
  <c r="J36" i="18" s="1"/>
  <c r="I12" i="1"/>
  <c r="I40" i="3"/>
  <c r="I44" i="3" s="1"/>
  <c r="I61" i="3" s="1"/>
  <c r="K37" i="9"/>
  <c r="K120" i="9"/>
  <c r="H126" i="9"/>
  <c r="I47" i="9"/>
  <c r="I12" i="7" s="1"/>
  <c r="I19" i="17" s="1"/>
  <c r="I44" i="9"/>
  <c r="I11" i="7" s="1"/>
  <c r="I18" i="17" s="1"/>
  <c r="I118" i="9"/>
  <c r="I26" i="7" s="1"/>
  <c r="I20" i="17" s="1"/>
  <c r="K19" i="3"/>
  <c r="K36" i="3" s="1"/>
  <c r="K38" i="3" s="1"/>
  <c r="J122" i="9"/>
  <c r="AO8" i="19"/>
  <c r="F25" i="17"/>
  <c r="F37" i="17" s="1"/>
  <c r="H10" i="7"/>
  <c r="G10" i="7"/>
  <c r="F76" i="3"/>
  <c r="G44" i="3"/>
  <c r="G61" i="3" s="1"/>
  <c r="I27" i="7"/>
  <c r="I21" i="17" s="1"/>
  <c r="K32" i="18" l="1"/>
  <c r="K46" i="18"/>
  <c r="K44" i="18"/>
  <c r="K40" i="18"/>
  <c r="K43" i="18"/>
  <c r="K45" i="18"/>
  <c r="I29" i="1"/>
  <c r="AM11" i="19"/>
  <c r="I13" i="18"/>
  <c r="AM12" i="19" s="1"/>
  <c r="I34" i="18"/>
  <c r="H14" i="18"/>
  <c r="H16" i="1"/>
  <c r="H31" i="1" s="1"/>
  <c r="H22" i="18"/>
  <c r="J33" i="18"/>
  <c r="J9" i="1"/>
  <c r="K8" i="1"/>
  <c r="K38" i="9"/>
  <c r="K41" i="9" s="1"/>
  <c r="G41" i="18"/>
  <c r="G16" i="18"/>
  <c r="G31" i="1"/>
  <c r="H17" i="17"/>
  <c r="H22" i="17" s="1"/>
  <c r="G17" i="17"/>
  <c r="G22" i="17" s="1"/>
  <c r="I13" i="1"/>
  <c r="I16" i="1" s="1"/>
  <c r="I37" i="18"/>
  <c r="H15" i="18"/>
  <c r="H30" i="1"/>
  <c r="H38" i="18"/>
  <c r="F82" i="3"/>
  <c r="F4" i="3" s="1"/>
  <c r="J40" i="3"/>
  <c r="J44" i="3" s="1"/>
  <c r="J61" i="3" s="1"/>
  <c r="K26" i="3"/>
  <c r="J12" i="1"/>
  <c r="K11" i="1"/>
  <c r="K36" i="18" s="1"/>
  <c r="I126" i="9"/>
  <c r="K122" i="9"/>
  <c r="K27" i="7" s="1"/>
  <c r="J118" i="9"/>
  <c r="J26" i="7" s="1"/>
  <c r="J20" i="17" s="1"/>
  <c r="J44" i="9"/>
  <c r="J47" i="9"/>
  <c r="F40" i="17"/>
  <c r="F41" i="17" s="1"/>
  <c r="F44" i="17" s="1"/>
  <c r="F4" i="17" s="1"/>
  <c r="AJ21" i="19"/>
  <c r="I10" i="7"/>
  <c r="I17" i="17" s="1"/>
  <c r="I22" i="17" s="1"/>
  <c r="H16" i="18" l="1"/>
  <c r="H41" i="18"/>
  <c r="H22" i="1"/>
  <c r="H47" i="18" s="1"/>
  <c r="AN11" i="19"/>
  <c r="J13" i="18"/>
  <c r="AN12" i="19" s="1"/>
  <c r="I21" i="18"/>
  <c r="I22" i="18"/>
  <c r="J13" i="1"/>
  <c r="J16" i="1" s="1"/>
  <c r="J37" i="18"/>
  <c r="I30" i="1"/>
  <c r="I38" i="18"/>
  <c r="I15" i="18"/>
  <c r="K33" i="18"/>
  <c r="K9" i="1"/>
  <c r="J34" i="18"/>
  <c r="J29" i="1"/>
  <c r="I31" i="1"/>
  <c r="I16" i="18"/>
  <c r="I41" i="18"/>
  <c r="I14" i="18"/>
  <c r="I22" i="1"/>
  <c r="I47" i="18" s="1"/>
  <c r="K12" i="1"/>
  <c r="K40" i="3"/>
  <c r="K44" i="3" s="1"/>
  <c r="K61" i="3" s="1"/>
  <c r="J126" i="9"/>
  <c r="K44" i="9"/>
  <c r="K11" i="7" s="1"/>
  <c r="K47" i="9"/>
  <c r="K12" i="7" s="1"/>
  <c r="K118" i="9"/>
  <c r="K26" i="7" s="1"/>
  <c r="K20" i="17" s="1"/>
  <c r="J12" i="7"/>
  <c r="J27" i="7"/>
  <c r="J21" i="17" s="1"/>
  <c r="J11" i="7"/>
  <c r="AO11" i="19" l="1"/>
  <c r="K13" i="18"/>
  <c r="AO12" i="19" s="1"/>
  <c r="J22" i="18"/>
  <c r="J21" i="18"/>
  <c r="J14" i="18"/>
  <c r="K19" i="17"/>
  <c r="J19" i="17"/>
  <c r="K21" i="17"/>
  <c r="K13" i="1"/>
  <c r="K16" i="1" s="1"/>
  <c r="K37" i="18"/>
  <c r="J16" i="18"/>
  <c r="J41" i="18"/>
  <c r="J31" i="1"/>
  <c r="J38" i="18"/>
  <c r="J30" i="1"/>
  <c r="J15" i="18"/>
  <c r="K18" i="17"/>
  <c r="J18" i="17"/>
  <c r="K34" i="18"/>
  <c r="K29" i="1"/>
  <c r="J22" i="1"/>
  <c r="J47" i="18" s="1"/>
  <c r="K126" i="9"/>
  <c r="K10" i="7"/>
  <c r="J10" i="7"/>
  <c r="K31" i="1" l="1"/>
  <c r="K41" i="18"/>
  <c r="K16" i="18"/>
  <c r="K17" i="17"/>
  <c r="K22" i="17" s="1"/>
  <c r="J17" i="17"/>
  <c r="J22" i="17" s="1"/>
  <c r="K30" i="1"/>
  <c r="K15" i="18"/>
  <c r="K38" i="18"/>
  <c r="K22" i="18"/>
  <c r="K21" i="18"/>
  <c r="K14" i="18"/>
  <c r="K22" i="1"/>
  <c r="K47" i="18" s="1"/>
  <c r="AI24" i="19" l="1"/>
  <c r="E60" i="3" l="1"/>
  <c r="AI15" i="19" l="1"/>
  <c r="E76" i="3" l="1"/>
  <c r="E54" i="9"/>
  <c r="E53" i="9" s="1"/>
  <c r="F28" i="7"/>
  <c r="F30" i="7" s="1"/>
  <c r="E14" i="7"/>
  <c r="E28" i="7"/>
  <c r="E30" i="7" s="1"/>
  <c r="E82" i="3" l="1"/>
  <c r="E4" i="3" s="1"/>
  <c r="E16" i="7"/>
  <c r="E68" i="18" s="1"/>
  <c r="E23" i="18"/>
  <c r="AI23" i="19" s="1"/>
  <c r="E24" i="18"/>
  <c r="E25" i="18"/>
  <c r="F14" i="7"/>
  <c r="E78" i="18" l="1"/>
  <c r="E134" i="9"/>
  <c r="E64" i="18"/>
  <c r="E66" i="18"/>
  <c r="E73" i="18"/>
  <c r="E61" i="18"/>
  <c r="E70" i="18"/>
  <c r="E74" i="18"/>
  <c r="E75" i="18"/>
  <c r="E60" i="18"/>
  <c r="E72" i="18"/>
  <c r="E55" i="18"/>
  <c r="E58" i="18"/>
  <c r="E59" i="18"/>
  <c r="E56" i="18"/>
  <c r="F135" i="9"/>
  <c r="F28" i="18"/>
  <c r="AJ18" i="19" s="1"/>
  <c r="AJ19" i="19" s="1"/>
  <c r="E62" i="18"/>
  <c r="E76" i="18"/>
  <c r="F23" i="18"/>
  <c r="AJ23" i="19" s="1"/>
  <c r="F24" i="18"/>
  <c r="F25" i="18"/>
  <c r="F16" i="7"/>
  <c r="E33" i="7"/>
  <c r="E4" i="7" s="1"/>
  <c r="E135" i="9"/>
  <c r="F33" i="7" l="1"/>
  <c r="F4" i="7" s="1"/>
  <c r="F68" i="18"/>
  <c r="E136" i="9"/>
  <c r="F134" i="9"/>
  <c r="F64" i="18"/>
  <c r="F66" i="18"/>
  <c r="F73" i="18"/>
  <c r="F70" i="18"/>
  <c r="F61" i="18"/>
  <c r="F75" i="18"/>
  <c r="F74" i="18"/>
  <c r="F72" i="18"/>
  <c r="F60" i="18"/>
  <c r="F55" i="18"/>
  <c r="F58" i="18"/>
  <c r="F59" i="18"/>
  <c r="F56" i="18"/>
  <c r="F76" i="18"/>
  <c r="F62" i="18"/>
  <c r="F78" i="18"/>
  <c r="E137" i="9" l="1"/>
  <c r="E4" i="9" s="1"/>
  <c r="F136" i="9"/>
  <c r="F137" i="9" s="1"/>
  <c r="F4" i="9" s="1"/>
  <c r="G8" i="7" l="1"/>
  <c r="AK25" i="19" l="1"/>
  <c r="AK24" i="19"/>
  <c r="G28" i="7"/>
  <c r="G62" i="3" l="1"/>
  <c r="G24" i="1" s="1"/>
  <c r="G25" i="1" l="1"/>
  <c r="G49" i="18"/>
  <c r="G66" i="3"/>
  <c r="AL25" i="19"/>
  <c r="H8" i="7"/>
  <c r="AL24" i="19"/>
  <c r="G7" i="17" l="1"/>
  <c r="G14" i="17" s="1"/>
  <c r="G25" i="17" s="1"/>
  <c r="G37" i="17" s="1"/>
  <c r="G40" i="17" s="1"/>
  <c r="G41" i="17" s="1"/>
  <c r="AK14" i="19"/>
  <c r="G75" i="3"/>
  <c r="G32" i="1"/>
  <c r="G50" i="18"/>
  <c r="G17" i="18"/>
  <c r="G70" i="3"/>
  <c r="G74" i="3"/>
  <c r="G69" i="3"/>
  <c r="AK15" i="19" l="1"/>
  <c r="H62" i="3"/>
  <c r="H24" i="1" s="1"/>
  <c r="I8" i="7"/>
  <c r="H28" i="7"/>
  <c r="H25" i="1" l="1"/>
  <c r="H49" i="18"/>
  <c r="H66" i="3"/>
  <c r="G76" i="3"/>
  <c r="H59" i="9"/>
  <c r="H63" i="9" s="1"/>
  <c r="H20" i="7" s="1"/>
  <c r="G54" i="9"/>
  <c r="G55" i="9" s="1"/>
  <c r="G131" i="9" s="1"/>
  <c r="G127" i="9" s="1"/>
  <c r="G128" i="9" s="1"/>
  <c r="AM25" i="19"/>
  <c r="AM24" i="19"/>
  <c r="H7" i="17" l="1"/>
  <c r="H14" i="17" s="1"/>
  <c r="H25" i="17" s="1"/>
  <c r="H37" i="17" s="1"/>
  <c r="H40" i="17" s="1"/>
  <c r="AL14" i="19"/>
  <c r="H75" i="3"/>
  <c r="H50" i="18"/>
  <c r="H17" i="18"/>
  <c r="H32" i="1"/>
  <c r="G82" i="3"/>
  <c r="G4" i="3" s="1"/>
  <c r="H74" i="3"/>
  <c r="H69" i="3"/>
  <c r="H70" i="3"/>
  <c r="G130" i="9"/>
  <c r="G49" i="9"/>
  <c r="G13" i="7" s="1"/>
  <c r="H39" i="17" s="1"/>
  <c r="I62" i="3"/>
  <c r="I24" i="1" s="1"/>
  <c r="AK21" i="19"/>
  <c r="G18" i="7"/>
  <c r="H53" i="9"/>
  <c r="J8" i="7"/>
  <c r="I28" i="7"/>
  <c r="H41" i="17" l="1"/>
  <c r="G30" i="7"/>
  <c r="G18" i="18"/>
  <c r="AK16" i="19" s="1"/>
  <c r="I25" i="1"/>
  <c r="AM14" i="19" s="1"/>
  <c r="I49" i="18"/>
  <c r="I66" i="3"/>
  <c r="AL15" i="19"/>
  <c r="AK22" i="19"/>
  <c r="AN25" i="19"/>
  <c r="K8" i="7"/>
  <c r="AN24" i="19"/>
  <c r="I7" i="17" l="1"/>
  <c r="I14" i="17" s="1"/>
  <c r="I25" i="17" s="1"/>
  <c r="I37" i="17" s="1"/>
  <c r="I40" i="17" s="1"/>
  <c r="I75" i="3"/>
  <c r="I17" i="18"/>
  <c r="I50" i="18"/>
  <c r="I32" i="1"/>
  <c r="I69" i="3"/>
  <c r="I70" i="3"/>
  <c r="I74" i="3"/>
  <c r="J62" i="3"/>
  <c r="J24" i="1" s="1"/>
  <c r="H76" i="3"/>
  <c r="I59" i="9"/>
  <c r="I63" i="9" s="1"/>
  <c r="I20" i="7" s="1"/>
  <c r="G135" i="9"/>
  <c r="G28" i="18"/>
  <c r="AK18" i="19" s="1"/>
  <c r="AK19" i="19" s="1"/>
  <c r="G43" i="17"/>
  <c r="G44" i="17" s="1"/>
  <c r="G14" i="7"/>
  <c r="H54" i="9"/>
  <c r="H55" i="9" s="1"/>
  <c r="H131" i="9" s="1"/>
  <c r="H127" i="9" s="1"/>
  <c r="H128" i="9" s="1"/>
  <c r="J28" i="7"/>
  <c r="G4" i="17" l="1"/>
  <c r="J25" i="1"/>
  <c r="J49" i="18"/>
  <c r="H82" i="3"/>
  <c r="H4" i="3" s="1"/>
  <c r="J66" i="3"/>
  <c r="H130" i="9"/>
  <c r="H49" i="9"/>
  <c r="H13" i="7" s="1"/>
  <c r="I39" i="17" s="1"/>
  <c r="I41" i="17" s="1"/>
  <c r="AM15" i="19"/>
  <c r="AL21" i="19"/>
  <c r="G132" i="9"/>
  <c r="G23" i="18"/>
  <c r="AK23" i="19" s="1"/>
  <c r="G16" i="7"/>
  <c r="G25" i="18"/>
  <c r="G24" i="18"/>
  <c r="H18" i="7"/>
  <c r="I53" i="9"/>
  <c r="AO25" i="19"/>
  <c r="AO24" i="19"/>
  <c r="K28" i="7"/>
  <c r="G62" i="18" l="1"/>
  <c r="G68" i="18"/>
  <c r="J75" i="3"/>
  <c r="AN14" i="19"/>
  <c r="J7" i="17"/>
  <c r="J14" i="17" s="1"/>
  <c r="J25" i="17" s="1"/>
  <c r="J37" i="17" s="1"/>
  <c r="J40" i="17" s="1"/>
  <c r="H30" i="7"/>
  <c r="H28" i="18" s="1"/>
  <c r="AL18" i="19" s="1"/>
  <c r="AL19" i="19" s="1"/>
  <c r="H18" i="18"/>
  <c r="AL16" i="19" s="1"/>
  <c r="J50" i="18"/>
  <c r="J17" i="18"/>
  <c r="J32" i="1"/>
  <c r="J70" i="3"/>
  <c r="J74" i="3"/>
  <c r="J69" i="3"/>
  <c r="K62" i="3"/>
  <c r="K24" i="1" s="1"/>
  <c r="I76" i="3"/>
  <c r="J59" i="9"/>
  <c r="J63" i="9" s="1"/>
  <c r="J20" i="7" s="1"/>
  <c r="G74" i="18"/>
  <c r="G78" i="18"/>
  <c r="G56" i="18"/>
  <c r="G66" i="18"/>
  <c r="G134" i="9"/>
  <c r="G75" i="18"/>
  <c r="G61" i="18"/>
  <c r="G72" i="18"/>
  <c r="G58" i="18"/>
  <c r="G55" i="18"/>
  <c r="G64" i="18"/>
  <c r="G70" i="18"/>
  <c r="G59" i="18"/>
  <c r="G73" i="18"/>
  <c r="G76" i="18"/>
  <c r="G60" i="18"/>
  <c r="G33" i="7"/>
  <c r="G4" i="7" s="1"/>
  <c r="AL22" i="19"/>
  <c r="I54" i="9"/>
  <c r="I55" i="9" s="1"/>
  <c r="I131" i="9" s="1"/>
  <c r="I127" i="9" s="1"/>
  <c r="I128" i="9" s="1"/>
  <c r="K25" i="1" l="1"/>
  <c r="K49" i="18"/>
  <c r="I82" i="3"/>
  <c r="I4" i="3" s="1"/>
  <c r="K66" i="3"/>
  <c r="I130" i="9"/>
  <c r="I49" i="9"/>
  <c r="I13" i="7" s="1"/>
  <c r="J39" i="17" s="1"/>
  <c r="J41" i="17" s="1"/>
  <c r="AN15" i="19"/>
  <c r="AM21" i="19"/>
  <c r="G136" i="9"/>
  <c r="H43" i="17"/>
  <c r="H44" i="17" s="1"/>
  <c r="H14" i="7"/>
  <c r="H135" i="9"/>
  <c r="J53" i="9"/>
  <c r="I18" i="7"/>
  <c r="H4" i="17" l="1"/>
  <c r="G137" i="9"/>
  <c r="G4" i="9" s="1"/>
  <c r="K75" i="3"/>
  <c r="AO14" i="19"/>
  <c r="K7" i="17"/>
  <c r="K14" i="17" s="1"/>
  <c r="K25" i="17" s="1"/>
  <c r="K37" i="17" s="1"/>
  <c r="K40" i="17" s="1"/>
  <c r="I30" i="7"/>
  <c r="I18" i="18"/>
  <c r="AM16" i="19" s="1"/>
  <c r="K50" i="18"/>
  <c r="K32" i="1"/>
  <c r="K17" i="18"/>
  <c r="K74" i="3"/>
  <c r="K69" i="3"/>
  <c r="K70" i="3"/>
  <c r="J76" i="3"/>
  <c r="K59" i="9"/>
  <c r="K63" i="9" s="1"/>
  <c r="K20" i="7" s="1"/>
  <c r="J54" i="9"/>
  <c r="J55" i="9" s="1"/>
  <c r="J131" i="9" s="1"/>
  <c r="J127" i="9" s="1"/>
  <c r="J128" i="9" s="1"/>
  <c r="H23" i="18"/>
  <c r="AL23" i="19" s="1"/>
  <c r="H16" i="7"/>
  <c r="H24" i="18"/>
  <c r="H25" i="18"/>
  <c r="H132" i="9"/>
  <c r="AM22" i="19"/>
  <c r="H62" i="18" l="1"/>
  <c r="H68" i="18"/>
  <c r="J82" i="3"/>
  <c r="J4" i="3" s="1"/>
  <c r="J130" i="9"/>
  <c r="J49" i="9"/>
  <c r="J13" i="7" s="1"/>
  <c r="K39" i="17" s="1"/>
  <c r="K41" i="17" s="1"/>
  <c r="AO15" i="19"/>
  <c r="AN21" i="19"/>
  <c r="K53" i="9"/>
  <c r="J18" i="7"/>
  <c r="H134" i="9"/>
  <c r="H64" i="18"/>
  <c r="H70" i="18"/>
  <c r="H73" i="18"/>
  <c r="H72" i="18"/>
  <c r="H59" i="18"/>
  <c r="H75" i="18"/>
  <c r="H60" i="18"/>
  <c r="H74" i="18"/>
  <c r="H58" i="18"/>
  <c r="H55" i="18"/>
  <c r="H56" i="18"/>
  <c r="H76" i="18"/>
  <c r="H33" i="7"/>
  <c r="H4" i="7" s="1"/>
  <c r="H66" i="18"/>
  <c r="H61" i="18"/>
  <c r="H78" i="18"/>
  <c r="I135" i="9"/>
  <c r="I28" i="18"/>
  <c r="AM18" i="19" s="1"/>
  <c r="AM19" i="19" s="1"/>
  <c r="I43" i="17"/>
  <c r="I44" i="17" s="1"/>
  <c r="I14" i="7"/>
  <c r="I4" i="17" l="1"/>
  <c r="J18" i="18"/>
  <c r="AN16" i="19" s="1"/>
  <c r="H136" i="9"/>
  <c r="J30" i="7"/>
  <c r="J28" i="18" s="1"/>
  <c r="AN18" i="19" s="1"/>
  <c r="AN19" i="19" s="1"/>
  <c r="K76" i="3"/>
  <c r="B11" i="24" s="1"/>
  <c r="AN22" i="19"/>
  <c r="K54" i="9"/>
  <c r="K55" i="9" s="1"/>
  <c r="K131" i="9" s="1"/>
  <c r="K127" i="9" s="1"/>
  <c r="K128" i="9" s="1"/>
  <c r="I132" i="9"/>
  <c r="I25" i="18"/>
  <c r="I24" i="18"/>
  <c r="I16" i="7"/>
  <c r="I23" i="18"/>
  <c r="AM23" i="19" s="1"/>
  <c r="H137" i="9" l="1"/>
  <c r="H4" i="9" s="1"/>
  <c r="I62" i="18"/>
  <c r="I68" i="18"/>
  <c r="K82" i="3"/>
  <c r="K4" i="3" s="1"/>
  <c r="K130" i="9"/>
  <c r="K49" i="9"/>
  <c r="K13" i="7" s="1"/>
  <c r="AO21" i="19"/>
  <c r="J135" i="9"/>
  <c r="J43" i="17"/>
  <c r="J44" i="17" s="1"/>
  <c r="J14" i="7"/>
  <c r="J25" i="18" s="1"/>
  <c r="K18" i="7"/>
  <c r="I134" i="9"/>
  <c r="I72" i="18"/>
  <c r="I74" i="18"/>
  <c r="I58" i="18"/>
  <c r="I73" i="18"/>
  <c r="I64" i="18"/>
  <c r="I59" i="18"/>
  <c r="I60" i="18"/>
  <c r="I76" i="18"/>
  <c r="I75" i="18"/>
  <c r="I70" i="18"/>
  <c r="I55" i="18"/>
  <c r="I56" i="18"/>
  <c r="I33" i="7"/>
  <c r="I4" i="7" s="1"/>
  <c r="I66" i="18"/>
  <c r="I61" i="18"/>
  <c r="I78" i="18"/>
  <c r="J4" i="17" l="1"/>
  <c r="K30" i="7"/>
  <c r="K28" i="18" s="1"/>
  <c r="AO18" i="19" s="1"/>
  <c r="AO19" i="19" s="1"/>
  <c r="K18" i="18"/>
  <c r="AO16" i="19" s="1"/>
  <c r="J132" i="9"/>
  <c r="I136" i="9"/>
  <c r="J16" i="7"/>
  <c r="J24" i="18"/>
  <c r="J23" i="18"/>
  <c r="AN23" i="19" s="1"/>
  <c r="AO22" i="19"/>
  <c r="I137" i="9" l="1"/>
  <c r="I4" i="9" s="1"/>
  <c r="J62" i="18"/>
  <c r="J68" i="18"/>
  <c r="J33" i="7"/>
  <c r="J4" i="7" s="1"/>
  <c r="J75" i="18"/>
  <c r="J56" i="18"/>
  <c r="J60" i="18"/>
  <c r="J74" i="18"/>
  <c r="J73" i="18"/>
  <c r="J134" i="9"/>
  <c r="J55" i="18"/>
  <c r="J59" i="18"/>
  <c r="J58" i="18"/>
  <c r="J64" i="18"/>
  <c r="J61" i="18"/>
  <c r="J72" i="18"/>
  <c r="J78" i="18"/>
  <c r="J76" i="18"/>
  <c r="J66" i="18"/>
  <c r="J70" i="18"/>
  <c r="K135" i="9"/>
  <c r="K43" i="17"/>
  <c r="K44" i="17" s="1"/>
  <c r="K14" i="7"/>
  <c r="K4" i="17" l="1"/>
  <c r="B23" i="24"/>
  <c r="J136" i="9"/>
  <c r="J137" i="9" s="1"/>
  <c r="J4" i="9" s="1"/>
  <c r="K132" i="9"/>
  <c r="K23" i="18"/>
  <c r="AO23" i="19" s="1"/>
  <c r="K16" i="7"/>
  <c r="K68" i="18" s="1"/>
  <c r="K25" i="18"/>
  <c r="K24" i="18"/>
  <c r="K33" i="7" l="1"/>
  <c r="K4" i="7" s="1"/>
  <c r="K64" i="18"/>
  <c r="K74" i="18"/>
  <c r="K60" i="18"/>
  <c r="K75" i="18"/>
  <c r="K70" i="18"/>
  <c r="K73" i="18"/>
  <c r="K76" i="18"/>
  <c r="K72" i="18"/>
  <c r="K58" i="18"/>
  <c r="K59" i="18"/>
  <c r="K55" i="18"/>
  <c r="K56" i="18"/>
  <c r="K134" i="9"/>
  <c r="K66" i="18"/>
  <c r="K78" i="18"/>
  <c r="K61" i="18"/>
  <c r="K62" i="18"/>
  <c r="K136" i="9" l="1"/>
  <c r="K137" i="9" l="1"/>
  <c r="K4" i="9" s="1"/>
  <c r="B19" i="24"/>
  <c r="B5" i="24" s="1"/>
  <c r="O2" i="17" l="1"/>
  <c r="O2" i="7"/>
  <c r="O2" i="1"/>
  <c r="Y2" i="19"/>
</calcChain>
</file>

<file path=xl/sharedStrings.xml><?xml version="1.0" encoding="utf-8"?>
<sst xmlns="http://schemas.openxmlformats.org/spreadsheetml/2006/main" count="574" uniqueCount="397">
  <si>
    <t>Overige opbrengsten</t>
  </si>
  <si>
    <t>Totale opbrengsten</t>
  </si>
  <si>
    <t>Meerjarenplanning</t>
  </si>
  <si>
    <t>Afschrijvingen</t>
  </si>
  <si>
    <t>Resultaat voor belastingen</t>
  </si>
  <si>
    <t>Belastingen</t>
  </si>
  <si>
    <t>Balans</t>
  </si>
  <si>
    <t>Materiële Vaste Activa</t>
  </si>
  <si>
    <t>Vaste Activa</t>
  </si>
  <si>
    <t>Voorraden</t>
  </si>
  <si>
    <t>Liquide Middelen</t>
  </si>
  <si>
    <t>Vlottende Activa</t>
  </si>
  <si>
    <t>Activa Totaal</t>
  </si>
  <si>
    <t>Eigen Vermogen</t>
  </si>
  <si>
    <t>Kortlopende schulden rentedragend</t>
  </si>
  <si>
    <t>Passiva Totaal</t>
  </si>
  <si>
    <t>Check</t>
  </si>
  <si>
    <t>Boekwaarde afgestote/verkochte MVA</t>
  </si>
  <si>
    <t>Verkoopprijs MVA</t>
  </si>
  <si>
    <t>Naar RR</t>
  </si>
  <si>
    <t>Naar KSO</t>
  </si>
  <si>
    <t>Langlopende Schulden (LLS)</t>
  </si>
  <si>
    <t>LLS eindstand</t>
  </si>
  <si>
    <t>Crediteuren dagen</t>
  </si>
  <si>
    <t>Debiteuren</t>
  </si>
  <si>
    <t>Crediteuren</t>
  </si>
  <si>
    <t>Beginstand</t>
  </si>
  <si>
    <t>Eindstand</t>
  </si>
  <si>
    <t>KnowYourFinance©</t>
  </si>
  <si>
    <t>EBITDA</t>
  </si>
  <si>
    <t>Belastingtarief</t>
  </si>
  <si>
    <t>Resultatenrekening</t>
  </si>
  <si>
    <t>FTE</t>
  </si>
  <si>
    <t>Overige kortlopende activa</t>
  </si>
  <si>
    <t>Overige kortlopende passiva</t>
  </si>
  <si>
    <t>Gemiddeld aantal dagen openstaande debiteurenfacturen</t>
  </si>
  <si>
    <t>Gemiddeld aantal dagen openstaande crediteurendagen</t>
  </si>
  <si>
    <t>% Overige kortl passiva van opbrengsten</t>
  </si>
  <si>
    <t>% Overige kortl activa van opbrengsten</t>
  </si>
  <si>
    <t>Verkoopresultaat vaste activa</t>
  </si>
  <si>
    <t>Invoer met minteken (-/-)</t>
  </si>
  <si>
    <t>Afschrijvingen (-/-)</t>
  </si>
  <si>
    <t>Verkoop-/afstoot specificatie MVA</t>
  </si>
  <si>
    <t>Kortlopend deel LLS</t>
  </si>
  <si>
    <t>Gemiddeld rente % langlopende schulden</t>
  </si>
  <si>
    <t>Naar BS</t>
  </si>
  <si>
    <t>Gemiddeld rente % kortlopende schulden</t>
  </si>
  <si>
    <t>Financiële baten</t>
  </si>
  <si>
    <t>Financiële lasten</t>
  </si>
  <si>
    <t>Naar Financële lasten RR</t>
  </si>
  <si>
    <t>Kopie Langlopende schulden berekening</t>
  </si>
  <si>
    <t>Beginwaarde MVA</t>
  </si>
  <si>
    <t>Zowel langlopend als kortlopend deel LLS; aanname: rentekosten over gemiddelde LLS per jaar</t>
  </si>
  <si>
    <t>LLS beginstand</t>
  </si>
  <si>
    <t>Aanname: rentekosten berekening over gemiddelde kortlopende schuld per jaar</t>
  </si>
  <si>
    <t>Dividend uitkering</t>
  </si>
  <si>
    <t>Bedrijfsresultaat (EBIT)</t>
  </si>
  <si>
    <t>Resultaat voor belastingen (EBT)</t>
  </si>
  <si>
    <t>EBITDA %</t>
  </si>
  <si>
    <t>EBIT %</t>
  </si>
  <si>
    <t>Resultaat %</t>
  </si>
  <si>
    <t>Optelling in huidige sheet</t>
  </si>
  <si>
    <t>Check moet nul zijn</t>
  </si>
  <si>
    <t>Common-size Resultatenrekening</t>
  </si>
  <si>
    <t>Afkortingen</t>
  </si>
  <si>
    <t>EBIT</t>
  </si>
  <si>
    <t>Dividend payout ratio</t>
  </si>
  <si>
    <t>MVA</t>
  </si>
  <si>
    <t>Materiële vaste activa</t>
  </si>
  <si>
    <t>Vlottende activa</t>
  </si>
  <si>
    <t>Kopie BS</t>
  </si>
  <si>
    <t>Eigen vermogen</t>
  </si>
  <si>
    <t>Vlottende passiva</t>
  </si>
  <si>
    <t>Balans totaal check</t>
  </si>
  <si>
    <t>Activa totaal optelling</t>
  </si>
  <si>
    <t>Passiva totaal optelling</t>
  </si>
  <si>
    <t>Check optelling aansluiting</t>
  </si>
  <si>
    <t>Activa totaal kopie BS</t>
  </si>
  <si>
    <t>Passiva totaal kopie BS</t>
  </si>
  <si>
    <t>Check totaal aansluiting</t>
  </si>
  <si>
    <t>Check gelijk</t>
  </si>
  <si>
    <t>Check optelling en kopie gelijk</t>
  </si>
  <si>
    <t>Beide checks opgeteld</t>
  </si>
  <si>
    <t>RR</t>
  </si>
  <si>
    <t>BS</t>
  </si>
  <si>
    <t>KSO</t>
  </si>
  <si>
    <t>Kasstroomoverzicht</t>
  </si>
  <si>
    <t>Correcties op resultaat:</t>
  </si>
  <si>
    <t>Mutaties in werkkapitaal:</t>
  </si>
  <si>
    <t>Mutatie in werkkapitaal</t>
  </si>
  <si>
    <t>Kasstroom uit operationele activiteiten</t>
  </si>
  <si>
    <t>Verkoop vaste activa</t>
  </si>
  <si>
    <t>Kasstroom uit investeringsactiviteiten</t>
  </si>
  <si>
    <t>Aflossing leningen</t>
  </si>
  <si>
    <t>Langlopende schulden</t>
  </si>
  <si>
    <t>Nieuwe/uitbreiding leningen</t>
  </si>
  <si>
    <t>Mutatie kortlopende rentedragende schulden</t>
  </si>
  <si>
    <t>Kasstroom uit financieringsactiviteiten</t>
  </si>
  <si>
    <t>Totale kasstroom</t>
  </si>
  <si>
    <t>Beginstand liquide middelen</t>
  </si>
  <si>
    <t>Eindstand liquide middelen</t>
  </si>
  <si>
    <t>Eindstand BS</t>
  </si>
  <si>
    <t>Eigen vermogen mutatie</t>
  </si>
  <si>
    <t>Eigen vermogen mutatie berekend</t>
  </si>
  <si>
    <t>Checks opgeteld</t>
  </si>
  <si>
    <t>Ratio's</t>
  </si>
  <si>
    <t>Liquiditeit:</t>
  </si>
  <si>
    <t>Interest coverage ratio</t>
  </si>
  <si>
    <t>= EBITDA / financiële lasten</t>
  </si>
  <si>
    <t>Debt service coverage ratio</t>
  </si>
  <si>
    <t>Current ratio</t>
  </si>
  <si>
    <t>Werkkapitaal</t>
  </si>
  <si>
    <t>Vlottende Passiva</t>
  </si>
  <si>
    <t>= Vlottende activa / Vlottende passiva</t>
  </si>
  <si>
    <t>= Vlottende activa -/- Vlottende passiva</t>
  </si>
  <si>
    <t>Operationeel werkkapitaal</t>
  </si>
  <si>
    <t>= (Vlottende activa -/- liquide middelen) -/- (Vlottende passiva -/- kortlopende rentedragende schulden)</t>
  </si>
  <si>
    <t>Rentabiliteit EV</t>
  </si>
  <si>
    <t>= Resultaat / Gemiddeld Eigen Vermogen</t>
  </si>
  <si>
    <t>Resultaat:</t>
  </si>
  <si>
    <t>Solvabiliteit</t>
  </si>
  <si>
    <t>Operationeel:</t>
  </si>
  <si>
    <t>Financiële structuur:</t>
  </si>
  <si>
    <t>= Eigen Vermogen / Totale vermogen</t>
  </si>
  <si>
    <t>= Resultaat / Opbrengsten</t>
  </si>
  <si>
    <t>= EBIT / Opbrengsten</t>
  </si>
  <si>
    <t>= EBITDA / Opbrengsten</t>
  </si>
  <si>
    <t>Common-size Balans</t>
  </si>
  <si>
    <t>Als % van balanstotaal</t>
  </si>
  <si>
    <t>Balanstotaal = 100%</t>
  </si>
  <si>
    <t>Dashboard</t>
  </si>
  <si>
    <t>Operationeel</t>
  </si>
  <si>
    <t>Resultaat</t>
  </si>
  <si>
    <t>Kasstroom</t>
  </si>
  <si>
    <t>Brondata</t>
  </si>
  <si>
    <t>Overige</t>
  </si>
  <si>
    <t>Stand</t>
  </si>
  <si>
    <t>Debt</t>
  </si>
  <si>
    <t>ICR</t>
  </si>
  <si>
    <t>DSCR</t>
  </si>
  <si>
    <t>Praktisch gebruik</t>
  </si>
  <si>
    <t>Jaaraanduidingen in de kolommen, met R = realisatie/werkelijke cijfers en P = Prognose/verwachting</t>
  </si>
  <si>
    <t>+/- notatie op basis van resultaatimpact: + = positieve bijdrage aan resultaat; - = negatieve bijdrage aan resultaat</t>
  </si>
  <si>
    <t>Bedragen in zwarte tekst zijn formules/berekende waarden</t>
  </si>
  <si>
    <t>In het model worden enkele Engelstalige termen gebruikt, slechts alleen indien dit zinvol is gezien de gebruikelijke terminologie</t>
  </si>
  <si>
    <t>Voor het invoegen van een nieuw jaar, ga als volgt te werk:</t>
  </si>
  <si>
    <t>Toelichtingen bij model</t>
  </si>
  <si>
    <t>Bepalingen voor gebruik</t>
  </si>
  <si>
    <t>Niet-operationele baten/lasten</t>
  </si>
  <si>
    <t>Voorzieningen</t>
  </si>
  <si>
    <t>Checks</t>
  </si>
  <si>
    <t>EBIT%</t>
  </si>
  <si>
    <t>Netto resultaat</t>
  </si>
  <si>
    <t>Opbrengsten (p*q) productgroep 1</t>
  </si>
  <si>
    <t>Gemiddelde prijsstijging</t>
  </si>
  <si>
    <t>Invoer per jaar</t>
  </si>
  <si>
    <t>Gemiddelde prijs (q) (in €)</t>
  </si>
  <si>
    <t>Check activa passiva</t>
  </si>
  <si>
    <t>Check EV mutatie resultaat en dividend</t>
  </si>
  <si>
    <t>Afschrijvingslasten</t>
  </si>
  <si>
    <t>Kopie uit 3. Prognose BS</t>
  </si>
  <si>
    <t>Kopie uit RR</t>
  </si>
  <si>
    <t>Overige bedrijfskosten + afschrijvingen</t>
  </si>
  <si>
    <t>Financieel + Niet-operationeel resultaat</t>
  </si>
  <si>
    <t>Overige kortlopende activa als % van opbrengsten</t>
  </si>
  <si>
    <t>&lt;=Opbrengsten per dag * Debiteuren dagen&gt;</t>
  </si>
  <si>
    <t>&lt;=Opbrengsten * %&gt;</t>
  </si>
  <si>
    <t>Exclusief kortlopend deel langlopende schulden. Naar BS</t>
  </si>
  <si>
    <t>Interest kortlopende schulden</t>
  </si>
  <si>
    <t>Overige kortlopende passiva als % van opbrengsten</t>
  </si>
  <si>
    <t>Dotatie + (kosten vanuit RR)</t>
  </si>
  <si>
    <t>Vrijval -/- (vrijval naar RR)</t>
  </si>
  <si>
    <t>Dividend uitkering (-/-) invoer</t>
  </si>
  <si>
    <t>Resultaat na dividend</t>
  </si>
  <si>
    <t>Investeringen (+)</t>
  </si>
  <si>
    <t>Boekwaarde verkoop/afstoot (-/-)</t>
  </si>
  <si>
    <t>Eindwaarde bestaande MVA</t>
  </si>
  <si>
    <t>Kopie uit 3. Prognose BS; Naar RR</t>
  </si>
  <si>
    <t>Onttrekking -/- (kas uitstroom)</t>
  </si>
  <si>
    <t>Indien niet-operiationeel resultaat -&gt; afzonderlijk opnemen in RR invoer</t>
  </si>
  <si>
    <t>Investeringen vaste activa</t>
  </si>
  <si>
    <t>Extra aflossing (-/-)</t>
  </si>
  <si>
    <t>Naar Financiële Lasten RR invoer</t>
  </si>
  <si>
    <t>Dotatie voorzieningen</t>
  </si>
  <si>
    <t>Vrijval voorzieningen</t>
  </si>
  <si>
    <t>Onttrekking voorzieningen</t>
  </si>
  <si>
    <t>Mutatie naar kortlopend deel (-/-)</t>
  </si>
  <si>
    <t>Opname als kortlopend deel van LLS per einde jaar.</t>
  </si>
  <si>
    <t>LLS nieuw (+)</t>
  </si>
  <si>
    <t>Totaal aflossing</t>
  </si>
  <si>
    <t>Subtotaal</t>
  </si>
  <si>
    <t>Aantal producten</t>
  </si>
  <si>
    <t>Gem verkoopprijs</t>
  </si>
  <si>
    <t>Productgroep</t>
  </si>
  <si>
    <t>Liquiditeit / EV</t>
  </si>
  <si>
    <t>Exclusief kortlopend deel langlopende schulden en kortlopende rentedragende schulden</t>
  </si>
  <si>
    <t>- Pas de dashboard brongegevens aan om te linken naar de juiste jaren</t>
  </si>
  <si>
    <t>Earnings before Interest Depreciation &amp; Amortizion = Bedrijfsresultaat exclusief afschrijvingen</t>
  </si>
  <si>
    <t>MJP</t>
  </si>
  <si>
    <t>Full Time Equivalent = opgetelde dienstverbanden uitgedrukt in aantal volledige dienstverbanden</t>
  </si>
  <si>
    <t>EUR</t>
  </si>
  <si>
    <t>Euro</t>
  </si>
  <si>
    <t>LLS</t>
  </si>
  <si>
    <t>EV</t>
  </si>
  <si>
    <t>R</t>
  </si>
  <si>
    <t>Realisatie</t>
  </si>
  <si>
    <t>P</t>
  </si>
  <si>
    <t>Prognose</t>
  </si>
  <si>
    <t>TV</t>
  </si>
  <si>
    <t>Totale vermogen</t>
  </si>
  <si>
    <t>p</t>
  </si>
  <si>
    <t>Kleine letter p = prijs</t>
  </si>
  <si>
    <t>q</t>
  </si>
  <si>
    <t>Kleine letter q = aantal</t>
  </si>
  <si>
    <t>De opbrengsten worden bepaald volgens de p * q methode: gemiddelde verkoopprijs (p) * verkoopaantallen (q)</t>
  </si>
  <si>
    <t>Opbrengsten p*q</t>
  </si>
  <si>
    <t>Gemiddelde stijging structurele overige opbrengsten per prognosejaar</t>
  </si>
  <si>
    <t>Earnings before interest &amp; tax</t>
  </si>
  <si>
    <t>Earnings before interest tax depreciation &amp; amortization</t>
  </si>
  <si>
    <t>Noot: wijkt af van solvabiliteit; solvabiliteit obv gemiddelde balansstanden</t>
  </si>
  <si>
    <t>Indien check &lt;&gt; eindwaarde =&gt; controleer mutaties in jaar</t>
  </si>
  <si>
    <t>Aantal producten/diensten (p)</t>
  </si>
  <si>
    <t>Alleen "reguliere" aflossingen, ten behoeve van DSCR ratio</t>
  </si>
  <si>
    <t>= EBITDA / (financiële lasten + reguliere aflossingen)</t>
  </si>
  <si>
    <t>Aflossing exclusief extra aflossing</t>
  </si>
  <si>
    <t>Diverse assen van de grafieken in het dashboard zijn handmatig begrensd met een maximum en minumum waarde om de leesbaarheid te vergroten. Pas indien nodig de assen aan na invoer van de gegevens.</t>
  </si>
  <si>
    <t>Opbrengsten</t>
  </si>
  <si>
    <t>Opbrengsten kan uitgebreid worden naar meerdere productgroepen</t>
  </si>
  <si>
    <t>Aantal producten (eenheden)</t>
  </si>
  <si>
    <t>Algemeen</t>
  </si>
  <si>
    <t>Invoer</t>
  </si>
  <si>
    <t>Invoegen van nieuw jaar</t>
  </si>
  <si>
    <t>Er zijn 3 invoer sheets, in sheets rechts van INVOER-&gt;:</t>
  </si>
  <si>
    <t>2. Prognose RR (voor de invoer van de meerjarige prognose van de resultatenrekening)</t>
  </si>
  <si>
    <t>3. Prognose BS (voor de invoer van de meerjarige prognose van de balans)</t>
  </si>
  <si>
    <t>Rapportages:</t>
  </si>
  <si>
    <t>De sheets Dashboard, RR, Balans, Kasstroomoverzicht en Ratio's zijn output sheets en bevatten de rapportages en overzichten. In de output sheets vindt geen invoer plaats.</t>
  </si>
  <si>
    <t>1. Realisatie RR en BS (voor invoer van het startjaar en de invoer van de historische jaren)</t>
  </si>
  <si>
    <t>Brondata-&gt;</t>
  </si>
  <si>
    <t>Startjaar</t>
  </si>
  <si>
    <t>Het model gaat uit van 2 historische jaren</t>
  </si>
  <si>
    <t>Vul in deze sectie de gerealiseerde resultaten in voor de 2 historische jaren</t>
  </si>
  <si>
    <t>Vul in deze sectie de gerealiseerde balansbedragen in voor de 2 historische jaren</t>
  </si>
  <si>
    <t>Moet nul zijn</t>
  </si>
  <si>
    <t>Check of activa en passiva gelijk zijn. Moet nul zijn.</t>
  </si>
  <si>
    <t>Check of eigen vermogen mutatie aansluit op resultaat mutatie en dividend uitkering</t>
  </si>
  <si>
    <t>Mutatie in eigen vermogen moet gelijk zijn aan het gerealiseerde resultaat minus dividenduitkering (uitgezonderd voor overige eigen vermogen mutaties)</t>
  </si>
  <si>
    <t>Resultatenrekening realisatie</t>
  </si>
  <si>
    <t>Balans realisatie</t>
  </si>
  <si>
    <t>Indien "CHECK": activa en passiva sluiten mogelijk niet aan, of eigen vermogen mutatie sluit niet aan met resultaat en dividenduitkering</t>
  </si>
  <si>
    <t>1. Realisatie RR en BS invoer</t>
  </si>
  <si>
    <t>2. Prognose Resultatenrekening (RR) invoer</t>
  </si>
  <si>
    <t>3. Prognose Balans (BS) invoer</t>
  </si>
  <si>
    <t>Resultaat na belastingen en check</t>
  </si>
  <si>
    <t>Bestaande MVA</t>
  </si>
  <si>
    <t>Nieuwe MVA</t>
  </si>
  <si>
    <t>Totale MVA</t>
  </si>
  <si>
    <t>Eindwaarde nieuwe MVA</t>
  </si>
  <si>
    <t>Eindwaarde MVA</t>
  </si>
  <si>
    <t>Beginwaarde bestaande MVA</t>
  </si>
  <si>
    <t>Beginwaarde nieuwe MVA</t>
  </si>
  <si>
    <t>Naar 2. Prognose RR</t>
  </si>
  <si>
    <t>Kopie uit 2. Prognose RR</t>
  </si>
  <si>
    <t>Activa optelling excl liq mid</t>
  </si>
  <si>
    <t>Liquide middelen</t>
  </si>
  <si>
    <t>Saldo</t>
  </si>
  <si>
    <t>Kopie 2. Prognose RR</t>
  </si>
  <si>
    <t>Gemiddeld aantal dagen voorraden beschikbaar</t>
  </si>
  <si>
    <t>Sluitpost berekend onderaan sheet</t>
  </si>
  <si>
    <t>Structurele/jaarlijkse overige opbrengsten</t>
  </si>
  <si>
    <t>Incidentele overige opbrengsten</t>
  </si>
  <si>
    <t>Jaarlijkse stijging overige opbrengsten</t>
  </si>
  <si>
    <t>De invoer in de sheets kan het beste plaatsvinden in volgorde van nummering (van links naar rechts) en van boven naar beneden. De sheets Prognose RR en BS volgen de logische opbouw van de resultatenrekening en balans van boven naar beneden.</t>
  </si>
  <si>
    <t>- Doe hetzelfde voor de invoer sheets 2. Prognose RR en 3. Prognose BS</t>
  </si>
  <si>
    <t>STAP 1:</t>
  </si>
  <si>
    <t>STAP 2:</t>
  </si>
  <si>
    <t>- In sheet "RR": kopieer de kolom van het laatste prognose (P) jaar</t>
  </si>
  <si>
    <t>- Plak (noot: niet insert/invoegen!) de kolom direct naast het laatste prognose (P) jaar</t>
  </si>
  <si>
    <t>- Doe hetzelfde voor de overige sheets (Balans, Kasstroomoverzicht, Ratios en de invoersheets), behalve voor het Dashboard</t>
  </si>
  <si>
    <t>- In sheets met opmerkingen aan rechterkant: verplaats eerst de opmerkingen één kolom naar rechts</t>
  </si>
  <si>
    <t>STAP 3:</t>
  </si>
  <si>
    <t>- Pas de assen van de grafieken aan en de overige "vaste" teksten voor zover nodig</t>
  </si>
  <si>
    <t>Als extra aflossing bovenop het reguliere aflossingsschema (wordt niet meegerekend voor DSCR ratio)</t>
  </si>
  <si>
    <t>Exclusief kortlopend deel van langlopende schulden</t>
  </si>
  <si>
    <t>Bestaande Langlopende Schulden (LLS)</t>
  </si>
  <si>
    <t>LLS kan opgesplits worden naar afzonderlijke bestaande leningdelen</t>
  </si>
  <si>
    <t>Inclusief kortlopend deel</t>
  </si>
  <si>
    <t>Aflossing vanuit kortlopend deel plus extra aflossing</t>
  </si>
  <si>
    <t>Alleen nieuwe leningen in historische jaren</t>
  </si>
  <si>
    <t>Financiële lasten langkopende schulden</t>
  </si>
  <si>
    <t>Financiële lasten kortlopende schulden</t>
  </si>
  <si>
    <t>Rente bestaande LLS</t>
  </si>
  <si>
    <t>Nieuwe Langlopende Schulden (LLS)</t>
  </si>
  <si>
    <t>Nieuwe leningen in prognose jaren</t>
  </si>
  <si>
    <t>Totaal Langlopende Schulden (LLS)</t>
  </si>
  <si>
    <t>Totale aflossing</t>
  </si>
  <si>
    <t>Totale stand langlopende schuld</t>
  </si>
  <si>
    <t>Bestaande plus nieuwe leningen</t>
  </si>
  <si>
    <t>Opname als kortlopend deel van LLS per einde jaar; naar BS (-)</t>
  </si>
  <si>
    <t>Rente Langlopende Schulden</t>
  </si>
  <si>
    <t>De prognose BS invoersheet heeft afzonderlijke invoervelden voor nieuwe en bestaande investeringen en langlopende leningen. Nieuwe investeringen en nieuwe leningen kunnen op praktische wijze afzonderlijk worden ingevoerd, met afzonderlijke afschrijvingen en afzonderlijke aflossingen en rentepercentages.</t>
  </si>
  <si>
    <t>Kostprijs verkopen</t>
  </si>
  <si>
    <t>Bruto marge</t>
  </si>
  <si>
    <t>Verkoopkosten</t>
  </si>
  <si>
    <t>Algemene beheerskosten</t>
  </si>
  <si>
    <t>Afschrijvingskosten</t>
  </si>
  <si>
    <t>Verkoopkosten % van opbrengsten p*q</t>
  </si>
  <si>
    <t>Netto resultaat optelling</t>
  </si>
  <si>
    <t>Netto resultaat vanuit RR</t>
  </si>
  <si>
    <t>Kopie uit 1. Realisatie RR en BS</t>
  </si>
  <si>
    <t>Drivers:</t>
  </si>
  <si>
    <t>Debiteuren dagen (obv opbrengsten)</t>
  </si>
  <si>
    <t>Groei% opbrengsten</t>
  </si>
  <si>
    <t/>
  </si>
  <si>
    <t>Netto resultaat vanuit 1. Realisatie RR en BS</t>
  </si>
  <si>
    <t>Verkoopkosten gerelateerd aan opbrengsten</t>
  </si>
  <si>
    <t>Verkoopkosten handmatige invoer</t>
  </si>
  <si>
    <t>Handmatige invoer</t>
  </si>
  <si>
    <t>Verkoopkosten gerelateerd aan opbrengsten p*q</t>
  </si>
  <si>
    <t>Beheerskosten gerelateerd aan totale opbrengsten</t>
  </si>
  <si>
    <t>Beheerskosten gerelateerd aan opbrengsten</t>
  </si>
  <si>
    <t>Beheerskosten handmatige invoer</t>
  </si>
  <si>
    <t>Brutomarge</t>
  </si>
  <si>
    <t>Brutomarge%</t>
  </si>
  <si>
    <t>Earnings Before Interest &amp; Tax = Bedrijfsresultaat</t>
  </si>
  <si>
    <t>KnowYourFinance</t>
  </si>
  <si>
    <t>U kunt contact opnemen met KnowYourFinance bij vragen over het model, of indien u klant-specifieke wensen en toepassingen heeft. We waarderen uw feedback over het model en het delen van uw gebruikservaringen. Wij nodigen u uit een email te sturen of onze webstite te bezoeken via onderstaande links.</t>
  </si>
  <si>
    <t>info@knowyourfinance.nl</t>
  </si>
  <si>
    <t>https://knowyourfinance.nl</t>
  </si>
  <si>
    <t>Model kenmerken en toepasbaarheid</t>
  </si>
  <si>
    <r>
      <t xml:space="preserve">Bedragen in </t>
    </r>
    <r>
      <rPr>
        <sz val="11"/>
        <color rgb="FF00B050"/>
        <rFont val="Calibri"/>
        <family val="2"/>
        <scheme val="minor"/>
      </rPr>
      <t>groen</t>
    </r>
    <r>
      <rPr>
        <sz val="11"/>
        <rFont val="Calibri"/>
        <family val="2"/>
        <scheme val="minor"/>
      </rPr>
      <t xml:space="preserve"> in de invoersheets zijn gelinkt vanuit een andere sheet</t>
    </r>
  </si>
  <si>
    <t>- In sheet 1. Realisatie RR en BS: kopieer de kolom van het laatste "realisatie" (R) jaar</t>
  </si>
  <si>
    <r>
      <t xml:space="preserve">- Plak (noot: niet insert/invoegen!) de kolom </t>
    </r>
    <r>
      <rPr>
        <i/>
        <sz val="11"/>
        <color theme="1"/>
        <rFont val="Calibri"/>
        <family val="2"/>
        <scheme val="minor"/>
      </rPr>
      <t>over</t>
    </r>
    <r>
      <rPr>
        <sz val="11"/>
        <color theme="1"/>
        <rFont val="Calibri"/>
        <family val="2"/>
        <scheme val="minor"/>
      </rPr>
      <t xml:space="preserve"> het eerste  "Prognose" (P) jaar</t>
    </r>
  </si>
  <si>
    <t>- In de sheet "Dashboard" in de brondata aan de rechterkant: kopieer het laatste P jaar en plak de kolom direct naast het laatste jaar</t>
  </si>
  <si>
    <t>KnowYourFinance en/of de auteur kunnen niet verantwoordelijk worden gehouden voor een juiste werking van het model in uw specifieke organisatie/onderneming. Ook kunnen KnowYourFinance en/of de auteur niet aansprakelijk worden gesteld voor onjuistheden in het model. KnowYourFinance hecht veel waarde aan kwaliteit en een zinvol gebruik van het model. In het geval van gesignaleerde onjuistheden of onvolkomenheden, zal KnowYourFinance deze zo spoedig mogelijk oplossen, in afstemming met de gebruiker(s) van het model.</t>
  </si>
  <si>
    <t>KnowYourFinance en de auteur zijn niet verantwoordelijk voor besluitvorming (of achterwege blijven hiervan) op basis van het model, zowel niet in de oorspronkelijke vorm als in aangepaste vorm.</t>
  </si>
  <si>
    <t>KnowYourFinance heeft als doel organisaties te ondersteunen bij de financiële planning, analyse en besluitvorming en de kennis over financiële analyse, planning en modelleren praktisch beschikbaar te stellen.</t>
  </si>
  <si>
    <t>Structurele en incidentele overige opbrengsten kunnen handmatig worden toegevoegd.</t>
  </si>
  <si>
    <t>Bedragen in gele cellen zijn handmatige invoer- waarden</t>
  </si>
  <si>
    <t>Het model kan vrij gebruikt worden als aanzet voor eigen gebruik en ten behoeve van ontwikkeling van de eigen kennis.</t>
  </si>
  <si>
    <t>Het model kan gebruikt voor onderwijskundige doeleinden in klassikale onderwijsvormen en voor praktijkgerichte case studies na toestemming van KYF en onder de voorwaarde dat copyright en intellectuele eigendom van het model worden gerespecteerd.</t>
  </si>
  <si>
    <t>Het model is generiek van opzet, dat als voorbeeld kan dienen voor de financiële planning van organisaties en ondernemingen. Het model is niet zondermeer standaard toepasbaar in uw organisatie en/of uw situatie.  Mogelijk moeten aanpassingen gedaan worden om het model te laten aansluiten op uw specifieke omstandigheden, eisen en wensen. Voldoende kennis van excel en financieel modelleren is noodzakelijk voor het aanpassen van het model, het geschikt maken voor een specifieke bedrijfssituatie en het gebruik van het model. Vraag advies van KYF over de geschiktheid, de benodigde aanpassingen en het gebruik van het model.</t>
  </si>
  <si>
    <t>KnowYourFinance is intellectueel eigenaar van het model. Het is niet toegestaan in welke vorm dan ook het model of gedeelten ervan (in oorspronkelijke of aangepaste vorm) te verspreiden of te delen met derden (tegen een vergoeding noch kosteloos), met uitzondering van deling van het model ten behoeve van gebruik en kennisdeling binnen de eigen organisatie/onderneming.</t>
  </si>
  <si>
    <t>Error checks</t>
  </si>
  <si>
    <t>Model checks</t>
  </si>
  <si>
    <t>Sheet</t>
  </si>
  <si>
    <t>1. Realisatie RR en BS</t>
  </si>
  <si>
    <t>Historische EV mutatie sluit niet aan bij nettoresultaat en dividend uitkering</t>
  </si>
  <si>
    <t>Gemiddelde prijs in euro (niet x 1.000)</t>
  </si>
  <si>
    <t>Inkoopwaarde omzet</t>
  </si>
  <si>
    <t>Inkoopwaarde omzet %</t>
  </si>
  <si>
    <t>Brutoresultaat</t>
  </si>
  <si>
    <t>Jaarlijkse % kan overschreven worden</t>
  </si>
  <si>
    <t>Gemiddelde prijsstijging per prognosejaar; jaarlijkse % kan overschreven worden</t>
  </si>
  <si>
    <t>Als % van opbrengsten (p*q) productgroep 1 (voer 0% in voor volledige handmatige invoer); jaarlijkse % kan overschreven worden</t>
  </si>
  <si>
    <t>Als % van totale opbrengsten (p*q + overige opbrengsten) (voer 0% in voor volledig handmatige invoer); jaarlijkse % kan overschreven worden</t>
  </si>
  <si>
    <t>Indien van toepassing</t>
  </si>
  <si>
    <t>Uitkering invoeren met minteken (-/-); naar RR</t>
  </si>
  <si>
    <t>Balans historische activa en passiva sluiten niet aan</t>
  </si>
  <si>
    <t>2. Prognose RR</t>
  </si>
  <si>
    <t>Resultaat rapport RR en 2. Prognose RR sluiten niet aan</t>
  </si>
  <si>
    <t>Historisch resultaat in 1. Realisatie RR en BS en in 2. Prognose RR sluiten niet aan</t>
  </si>
  <si>
    <t>EUR bedragen x 1.000</t>
  </si>
  <si>
    <t>Invoer eerste prognosejaar</t>
  </si>
  <si>
    <t>EUR bedragen x 1.000 (tenzij anders vermeld)</t>
  </si>
  <si>
    <t>Specificatie nieuwe MVA kan vervangen worden door spec met individuele investeringen</t>
  </si>
  <si>
    <t>Afschrijvingslasten RR</t>
  </si>
  <si>
    <t>Afschrijvingen BS</t>
  </si>
  <si>
    <t>Afschrijvingen 3. Prognose BS zijn ongelijk aan afschrijvingslasten 3. Prognose RR</t>
  </si>
  <si>
    <t>Voorraad dagen (obv inkoopwaarde omzet)</t>
  </si>
  <si>
    <t>&lt;=Inkoopwaarde omzet per dag * Voorraad dagen&gt;</t>
  </si>
  <si>
    <t>Check Beginstand = Eindstand</t>
  </si>
  <si>
    <t>Indien Check &lt;&gt; 0 =&gt; controleer mutaties voorzieningen in het laatste realisatiejaar</t>
  </si>
  <si>
    <t>3. Prognose BS</t>
  </si>
  <si>
    <t>Beginstand voorzieningen in laatste realisatiejaar is ongelijk aan Eindstand vorig jaar</t>
  </si>
  <si>
    <t>Indien Check &lt;&gt; 0 =&gt; controleer leningmutaties in het laatste realisatiejaar</t>
  </si>
  <si>
    <t>Beginstand langlopende schuld in laatste realisatiejaar is ongelijk aan Eindstand vorig jaar</t>
  </si>
  <si>
    <t>Rente nieuwe LLS</t>
  </si>
  <si>
    <t>Beheerskosten % van totale opbrengsten</t>
  </si>
  <si>
    <t>&lt;=Inkoopwaarde omzet per dag * Crediteuren dagen&gt;</t>
  </si>
  <si>
    <t>Activa en passiva zijn ongelijk</t>
  </si>
  <si>
    <t>Balans en Resultatenrekening EUR bedragen x 1.000</t>
  </si>
  <si>
    <t>Brutoresultaat %</t>
  </si>
  <si>
    <t>Activa en passiva sluiten niet aan</t>
  </si>
  <si>
    <t>Activa en passiva in 3. Prognose BS zijn ongelijk aan rapport Balans</t>
  </si>
  <si>
    <t>Eindstand liquide middelen KSO sluit niet aan met Balans</t>
  </si>
  <si>
    <t>Gemiddelde verkoopprijs (in €)</t>
  </si>
  <si>
    <t>Bedragen in EUR x 1.000, tenzijn anders vermeld</t>
  </si>
  <si>
    <t>Opbrengsten p*q = 100%</t>
  </si>
  <si>
    <t>inkoopwaarde verkopen</t>
  </si>
  <si>
    <t>Master check</t>
  </si>
  <si>
    <t>ErrorChecks</t>
  </si>
  <si>
    <r>
      <rPr>
        <b/>
        <sz val="11"/>
        <rFont val="Calibri"/>
        <family val="2"/>
        <scheme val="minor"/>
      </rPr>
      <t>Model type:</t>
    </r>
    <r>
      <rPr>
        <sz val="11"/>
        <rFont val="Calibri"/>
        <family val="2"/>
        <scheme val="minor"/>
      </rPr>
      <t xml:space="preserve"> Meerjarenplanning resultatenrekening met brutoresultaat, balans en kasstroomoverzicht.</t>
    </r>
  </si>
  <si>
    <r>
      <rPr>
        <b/>
        <sz val="11"/>
        <rFont val="Calibri"/>
        <family val="2"/>
        <scheme val="minor"/>
      </rPr>
      <t>Toepassing:</t>
    </r>
    <r>
      <rPr>
        <sz val="11"/>
        <rFont val="Calibri"/>
        <family val="2"/>
        <scheme val="minor"/>
      </rPr>
      <t xml:space="preserve"> Het model dient als voorbeeld voor de financiële meerjarenplanning van oa handelsorganisaties, met opbrengsten, inkoopwaarde omzet en voorraad (eind)product.</t>
    </r>
  </si>
  <si>
    <r>
      <rPr>
        <b/>
        <sz val="11"/>
        <rFont val="Calibri"/>
        <family val="2"/>
        <scheme val="minor"/>
      </rPr>
      <t>Minder geschikt voor:</t>
    </r>
    <r>
      <rPr>
        <sz val="11"/>
        <rFont val="Calibri"/>
        <family val="2"/>
        <scheme val="minor"/>
      </rPr>
      <t xml:space="preserve"> Voor organisaties die niet sturen en rapporteren op inkoopwaarde omzet en brutoresultaat. KnowYourFinance beschikt over een standaard model die beter aansluit op de financiële sturing zonder brutoresultaat. Raadpleeg de download pagina of vraag na bij KYF.</t>
    </r>
  </si>
  <si>
    <r>
      <rPr>
        <b/>
        <sz val="11"/>
        <rFont val="Calibri"/>
        <family val="2"/>
        <scheme val="minor"/>
      </rPr>
      <t>Relevante modelparameters:</t>
    </r>
    <r>
      <rPr>
        <sz val="11"/>
        <rFont val="Calibri"/>
        <family val="2"/>
        <scheme val="minor"/>
      </rPr>
      <t xml:space="preserve"> aantal verkopen, gemiddelde verkoopprijs, inkoopwaarde omzet, brutoresultaat en operationele kosten.</t>
    </r>
  </si>
  <si>
    <t>Het model bevat een afzonderelijke ErrorCheck sheet waarin alle gangbare model checks zijn weergegeven. De totale master check,als optelling van alle afzonderlijke checks, wordt in elke sheet bovenaan weergegeven.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</si>
</sst>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quot;€&quot;\ #,##0"/>
    <numFmt numFmtId="168" formatCode="&quot;€&quot;\ #,##0;\-&quot;€&quot;\ #,##0;\-"/>
  </numFmts>
  <fonts count="43" x14ac:knownFonts="1">
    <font>
      <sz val="11"/>
      <color theme="1"/>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sz val="9"/>
      <color theme="1"/>
      <name val="Calibri"/>
      <family val="2"/>
      <scheme val="minor"/>
    </font>
    <font>
      <sz val="11"/>
      <color theme="1"/>
      <name val="Calibri"/>
      <family val="2"/>
    </font>
    <font>
      <i/>
      <sz val="9"/>
      <color theme="1"/>
      <name val="Calibri"/>
      <family val="2"/>
      <scheme val="minor"/>
    </font>
    <font>
      <b/>
      <sz val="12"/>
      <color theme="1"/>
      <name val="Calibri"/>
      <family val="2"/>
      <scheme val="minor"/>
    </font>
    <font>
      <i/>
      <sz val="9"/>
      <color theme="0"/>
      <name val="Calibri"/>
      <family val="2"/>
      <scheme val="minor"/>
    </font>
    <font>
      <b/>
      <sz val="12"/>
      <name val="Calibri"/>
      <family val="2"/>
      <scheme val="minor"/>
    </font>
    <font>
      <i/>
      <sz val="9"/>
      <name val="Calibri"/>
      <family val="2"/>
      <scheme val="minor"/>
    </font>
    <font>
      <i/>
      <sz val="8"/>
      <color theme="1"/>
      <name val="Calibri"/>
      <family val="2"/>
      <scheme val="minor"/>
    </font>
    <font>
      <b/>
      <sz val="9"/>
      <name val="Calibri"/>
      <family val="2"/>
      <scheme val="minor"/>
    </font>
    <font>
      <sz val="9"/>
      <name val="Calibri"/>
      <family val="2"/>
      <scheme val="minor"/>
    </font>
    <font>
      <sz val="11"/>
      <name val="Calibri"/>
      <family val="2"/>
    </font>
    <font>
      <sz val="10"/>
      <color theme="1"/>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i/>
      <sz val="10"/>
      <color theme="1" tint="0.499984740745262"/>
      <name val="Calibri"/>
      <family val="2"/>
      <scheme val="minor"/>
    </font>
    <font>
      <i/>
      <sz val="10"/>
      <color theme="0" tint="-0.249977111117893"/>
      <name val="Calibri"/>
      <family val="2"/>
      <scheme val="minor"/>
    </font>
    <font>
      <sz val="10"/>
      <color theme="0" tint="-0.249977111117893"/>
      <name val="Calibri"/>
      <family val="2"/>
      <scheme val="minor"/>
    </font>
    <font>
      <sz val="10"/>
      <name val="Calibri"/>
      <family val="2"/>
      <scheme val="minor"/>
    </font>
    <font>
      <sz val="10"/>
      <color theme="1" tint="0.499984740745262"/>
      <name val="Calibri"/>
      <family val="2"/>
      <scheme val="minor"/>
    </font>
    <font>
      <b/>
      <sz val="10"/>
      <name val="Calibri"/>
      <family val="2"/>
      <scheme val="minor"/>
    </font>
    <font>
      <i/>
      <sz val="11"/>
      <name val="Calibri"/>
      <family val="2"/>
      <scheme val="minor"/>
    </font>
    <font>
      <i/>
      <sz val="9"/>
      <color theme="1" tint="0.499984740745262"/>
      <name val="Calibri"/>
      <family val="2"/>
      <scheme val="minor"/>
    </font>
    <font>
      <b/>
      <sz val="10"/>
      <color rgb="FF00B050"/>
      <name val="Calibri"/>
      <family val="2"/>
      <scheme val="minor"/>
    </font>
    <font>
      <sz val="10"/>
      <color rgb="FF00B050"/>
      <name val="Calibri"/>
      <family val="2"/>
      <scheme val="minor"/>
    </font>
    <font>
      <i/>
      <sz val="10"/>
      <name val="Calibri"/>
      <family val="2"/>
      <scheme val="minor"/>
    </font>
    <font>
      <i/>
      <sz val="10"/>
      <color rgb="FF00B050"/>
      <name val="Calibri"/>
      <family val="2"/>
      <scheme val="minor"/>
    </font>
    <font>
      <u/>
      <sz val="10"/>
      <color theme="1"/>
      <name val="Calibri"/>
      <family val="2"/>
      <scheme val="minor"/>
    </font>
    <font>
      <b/>
      <i/>
      <sz val="10"/>
      <color theme="1"/>
      <name val="Calibri"/>
      <family val="2"/>
      <scheme val="minor"/>
    </font>
    <font>
      <b/>
      <sz val="10"/>
      <color theme="0" tint="-0.249977111117893"/>
      <name val="Calibri"/>
      <family val="2"/>
      <scheme val="minor"/>
    </font>
    <font>
      <b/>
      <i/>
      <sz val="10"/>
      <color theme="0" tint="-0.249977111117893"/>
      <name val="Calibri"/>
      <family val="2"/>
      <scheme val="minor"/>
    </font>
    <font>
      <u/>
      <sz val="11"/>
      <color theme="10"/>
      <name val="Calibri"/>
      <family val="2"/>
      <scheme val="minor"/>
    </font>
    <font>
      <sz val="11"/>
      <color theme="1"/>
      <name val="Segoe UI"/>
      <family val="2"/>
    </font>
    <font>
      <b/>
      <u/>
      <sz val="11"/>
      <color theme="9"/>
      <name val="Calibri"/>
      <family val="2"/>
      <scheme val="minor"/>
    </font>
    <font>
      <sz val="11"/>
      <color rgb="FF00B05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FFFFCC"/>
        <bgColor indexed="64"/>
      </patternFill>
    </fill>
  </fills>
  <borders count="6">
    <border>
      <left/>
      <right/>
      <top/>
      <bottom/>
      <diagonal/>
    </border>
    <border>
      <left/>
      <right style="thin">
        <color theme="0"/>
      </right>
      <top/>
      <bottom/>
      <diagonal/>
    </border>
    <border>
      <left/>
      <right/>
      <top style="thin">
        <color indexed="64"/>
      </top>
      <bottom/>
      <diagonal/>
    </border>
    <border>
      <left/>
      <right/>
      <top style="thin">
        <color indexed="64"/>
      </top>
      <bottom style="double">
        <color indexed="64"/>
      </bottom>
      <diagonal/>
    </border>
    <border>
      <left/>
      <right/>
      <top/>
      <bottom style="thin">
        <color indexed="64"/>
      </bottom>
      <diagonal/>
    </border>
    <border>
      <left style="thin">
        <color auto="1"/>
      </left>
      <right style="thin">
        <color auto="1"/>
      </right>
      <top style="thin">
        <color auto="1"/>
      </top>
      <bottom style="thin">
        <color auto="1"/>
      </bottom>
      <diagonal/>
    </border>
  </borders>
  <cellStyleXfs count="3">
    <xf numFmtId="0" fontId="0" fillId="0" borderId="0"/>
    <xf numFmtId="9" fontId="5" fillId="0" borderId="0" applyFont="0" applyFill="0" applyBorder="0" applyAlignment="0" applyProtection="0"/>
    <xf numFmtId="0" fontId="39" fillId="0" borderId="0" applyNumberFormat="0" applyFill="0" applyBorder="0" applyAlignment="0" applyProtection="0"/>
  </cellStyleXfs>
  <cellXfs count="202">
    <xf numFmtId="0" fontId="0" fillId="0" borderId="0" xfId="0"/>
    <xf numFmtId="3" fontId="0" fillId="0" borderId="0" xfId="0" applyNumberFormat="1"/>
    <xf numFmtId="0" fontId="1" fillId="0" borderId="0" xfId="0" applyFont="1"/>
    <xf numFmtId="0" fontId="4" fillId="0" borderId="0" xfId="0" applyFont="1"/>
    <xf numFmtId="0" fontId="0" fillId="2" borderId="0" xfId="0" applyFill="1"/>
    <xf numFmtId="0" fontId="1" fillId="2" borderId="0" xfId="0" applyFont="1" applyFill="1"/>
    <xf numFmtId="0" fontId="2" fillId="2" borderId="0" xfId="0" applyFont="1" applyFill="1" applyAlignment="1">
      <alignment vertical="top" wrapText="1"/>
    </xf>
    <xf numFmtId="0" fontId="0" fillId="0" borderId="0" xfId="0" applyAlignment="1">
      <alignment vertical="top" wrapText="1"/>
    </xf>
    <xf numFmtId="0" fontId="0" fillId="0" borderId="0" xfId="0" quotePrefix="1" applyAlignment="1">
      <alignment vertical="top" wrapText="1"/>
    </xf>
    <xf numFmtId="0" fontId="8" fillId="0" borderId="0" xfId="0" applyFont="1"/>
    <xf numFmtId="0" fontId="9" fillId="0" borderId="0" xfId="0" applyFont="1"/>
    <xf numFmtId="0" fontId="10" fillId="0" borderId="0" xfId="0" applyFont="1"/>
    <xf numFmtId="0" fontId="11" fillId="0" borderId="0" xfId="0" applyFont="1"/>
    <xf numFmtId="0" fontId="10" fillId="0" borderId="0" xfId="0" applyFont="1" applyAlignment="1">
      <alignment horizontal="right"/>
    </xf>
    <xf numFmtId="0" fontId="7" fillId="2" borderId="0" xfId="0" applyFont="1" applyFill="1" applyAlignment="1">
      <alignment horizontal="center"/>
    </xf>
    <xf numFmtId="0" fontId="7" fillId="2" borderId="0" xfId="0" applyFont="1" applyFill="1"/>
    <xf numFmtId="0" fontId="6" fillId="2" borderId="0" xfId="0" applyFont="1" applyFill="1"/>
    <xf numFmtId="0" fontId="3" fillId="0" borderId="0" xfId="0" applyFont="1" applyAlignment="1">
      <alignment horizontal="center"/>
    </xf>
    <xf numFmtId="0" fontId="3" fillId="3" borderId="0" xfId="0" applyFont="1" applyFill="1"/>
    <xf numFmtId="0" fontId="3" fillId="3" borderId="0" xfId="0" applyFont="1" applyFill="1" applyAlignment="1">
      <alignment horizontal="center"/>
    </xf>
    <xf numFmtId="0" fontId="3" fillId="0" borderId="1" xfId="0" applyFont="1" applyBorder="1" applyAlignment="1">
      <alignment horizontal="center"/>
    </xf>
    <xf numFmtId="166" fontId="0" fillId="0" borderId="0" xfId="0" applyNumberFormat="1"/>
    <xf numFmtId="0" fontId="13" fillId="0" borderId="4" xfId="0" applyFont="1" applyBorder="1"/>
    <xf numFmtId="0" fontId="6" fillId="0" borderId="4" xfId="0" applyFont="1" applyBorder="1"/>
    <xf numFmtId="0" fontId="14" fillId="0" borderId="4" xfId="0" applyFont="1" applyBorder="1" applyAlignment="1">
      <alignment horizontal="right"/>
    </xf>
    <xf numFmtId="0" fontId="6" fillId="0" borderId="0" xfId="0" applyFont="1"/>
    <xf numFmtId="164" fontId="0" fillId="0" borderId="0" xfId="0" applyNumberFormat="1"/>
    <xf numFmtId="0" fontId="15" fillId="0" borderId="0" xfId="0" applyFont="1" applyAlignment="1">
      <alignment vertical="top"/>
    </xf>
    <xf numFmtId="0" fontId="6" fillId="0" borderId="0" xfId="0" applyFont="1" applyAlignment="1">
      <alignment vertical="top" wrapText="1"/>
    </xf>
    <xf numFmtId="0" fontId="4" fillId="0" borderId="0" xfId="0" applyFont="1" applyAlignment="1">
      <alignment vertical="top" wrapText="1"/>
    </xf>
    <xf numFmtId="0" fontId="0" fillId="0" borderId="4" xfId="0" applyBorder="1"/>
    <xf numFmtId="0" fontId="13" fillId="2" borderId="0" xfId="0" applyFont="1" applyFill="1"/>
    <xf numFmtId="0" fontId="14" fillId="2" borderId="0" xfId="0" applyFont="1" applyFill="1" applyAlignment="1">
      <alignment horizontal="right"/>
    </xf>
    <xf numFmtId="0" fontId="13" fillId="0" borderId="0" xfId="0" applyFont="1"/>
    <xf numFmtId="0" fontId="16" fillId="0" borderId="0" xfId="0" applyFont="1"/>
    <xf numFmtId="0" fontId="7" fillId="0" borderId="0" xfId="0" applyFont="1"/>
    <xf numFmtId="0" fontId="7" fillId="0" borderId="0" xfId="0" applyFont="1" applyAlignment="1">
      <alignment horizontal="center"/>
    </xf>
    <xf numFmtId="0" fontId="10" fillId="0" borderId="4" xfId="0" applyFont="1" applyBorder="1"/>
    <xf numFmtId="0" fontId="17" fillId="2" borderId="0" xfId="0" applyFont="1" applyFill="1"/>
    <xf numFmtId="0" fontId="18" fillId="2" borderId="0" xfId="0" applyFont="1" applyFill="1"/>
    <xf numFmtId="0" fontId="7" fillId="2" borderId="1" xfId="0" applyFont="1" applyFill="1" applyBorder="1" applyAlignment="1">
      <alignment horizontal="center"/>
    </xf>
    <xf numFmtId="0" fontId="14" fillId="0" borderId="0" xfId="0" applyFont="1" applyAlignment="1">
      <alignment horizontal="right"/>
    </xf>
    <xf numFmtId="0" fontId="19" fillId="0" borderId="0" xfId="0" applyFont="1"/>
    <xf numFmtId="3" fontId="19" fillId="0" borderId="0" xfId="0" applyNumberFormat="1" applyFont="1"/>
    <xf numFmtId="0" fontId="20" fillId="0" borderId="0" xfId="0" applyFont="1"/>
    <xf numFmtId="3" fontId="20" fillId="0" borderId="0" xfId="0" applyNumberFormat="1" applyFont="1"/>
    <xf numFmtId="165" fontId="19" fillId="0" borderId="0" xfId="0" applyNumberFormat="1" applyFont="1"/>
    <xf numFmtId="166" fontId="19" fillId="0" borderId="0" xfId="0" applyNumberFormat="1" applyFont="1"/>
    <xf numFmtId="0" fontId="21" fillId="0" borderId="0" xfId="0" applyFont="1" applyAlignment="1">
      <alignment horizontal="center"/>
    </xf>
    <xf numFmtId="0" fontId="19" fillId="0" borderId="0" xfId="0" quotePrefix="1" applyFont="1" applyAlignment="1">
      <alignment horizontal="center"/>
    </xf>
    <xf numFmtId="0" fontId="22" fillId="0" borderId="0" xfId="0" applyFont="1"/>
    <xf numFmtId="0" fontId="23" fillId="0" borderId="0" xfId="0" applyFont="1" applyAlignment="1">
      <alignment horizontal="center"/>
    </xf>
    <xf numFmtId="0" fontId="19" fillId="2" borderId="0" xfId="0" applyFont="1" applyFill="1"/>
    <xf numFmtId="0" fontId="20" fillId="2" borderId="0" xfId="0" applyFont="1" applyFill="1"/>
    <xf numFmtId="0" fontId="24" fillId="0" borderId="0" xfId="0" applyFont="1"/>
    <xf numFmtId="3" fontId="24" fillId="0" borderId="0" xfId="0" applyNumberFormat="1" applyFont="1"/>
    <xf numFmtId="0" fontId="25" fillId="0" borderId="0" xfId="0" applyFont="1"/>
    <xf numFmtId="0" fontId="21" fillId="2" borderId="0" xfId="0" applyFont="1" applyFill="1"/>
    <xf numFmtId="3" fontId="26" fillId="0" borderId="0" xfId="0" applyNumberFormat="1" applyFont="1"/>
    <xf numFmtId="0" fontId="20" fillId="0" borderId="0" xfId="0" quotePrefix="1" applyFont="1" applyAlignment="1">
      <alignment horizontal="center"/>
    </xf>
    <xf numFmtId="166" fontId="26" fillId="2" borderId="0" xfId="0" applyNumberFormat="1" applyFont="1" applyFill="1"/>
    <xf numFmtId="0" fontId="28" fillId="2" borderId="0" xfId="0" applyFont="1" applyFill="1"/>
    <xf numFmtId="0" fontId="28" fillId="2" borderId="0" xfId="0" applyFont="1" applyFill="1" applyAlignment="1">
      <alignment horizontal="center"/>
    </xf>
    <xf numFmtId="166" fontId="26" fillId="0" borderId="0" xfId="1" applyNumberFormat="1" applyFont="1"/>
    <xf numFmtId="0" fontId="26" fillId="0" borderId="0" xfId="0" applyFont="1"/>
    <xf numFmtId="3" fontId="26" fillId="2" borderId="0" xfId="0" applyNumberFormat="1" applyFont="1" applyFill="1"/>
    <xf numFmtId="0" fontId="20" fillId="0" borderId="0" xfId="0" quotePrefix="1" applyFont="1" applyAlignment="1">
      <alignment horizontal="right"/>
    </xf>
    <xf numFmtId="0" fontId="19" fillId="0" borderId="0" xfId="0" applyFont="1" applyAlignment="1">
      <alignment horizontal="right"/>
    </xf>
    <xf numFmtId="3" fontId="19" fillId="2" borderId="0" xfId="0" applyNumberFormat="1" applyFont="1" applyFill="1"/>
    <xf numFmtId="166" fontId="20" fillId="0" borderId="0" xfId="0" applyNumberFormat="1" applyFont="1"/>
    <xf numFmtId="0" fontId="28" fillId="0" borderId="0" xfId="0" applyFont="1"/>
    <xf numFmtId="166" fontId="26" fillId="0" borderId="0" xfId="0" applyNumberFormat="1" applyFont="1"/>
    <xf numFmtId="166" fontId="26" fillId="2" borderId="0" xfId="1" applyNumberFormat="1" applyFont="1" applyFill="1"/>
    <xf numFmtId="166" fontId="26" fillId="0" borderId="0" xfId="0" quotePrefix="1" applyNumberFormat="1" applyFont="1" applyAlignment="1">
      <alignment horizontal="right"/>
    </xf>
    <xf numFmtId="166" fontId="26" fillId="0" borderId="0" xfId="1" quotePrefix="1" applyNumberFormat="1" applyFont="1" applyAlignment="1">
      <alignment horizontal="right"/>
    </xf>
    <xf numFmtId="0" fontId="26" fillId="2" borderId="0" xfId="0" applyFont="1" applyFill="1"/>
    <xf numFmtId="0" fontId="12" fillId="0" borderId="0" xfId="0" applyFont="1" applyAlignment="1">
      <alignment horizontal="right"/>
    </xf>
    <xf numFmtId="0" fontId="2" fillId="0" borderId="0" xfId="0" applyFont="1" applyAlignment="1">
      <alignment vertical="top" wrapText="1"/>
    </xf>
    <xf numFmtId="0" fontId="29" fillId="0" borderId="0" xfId="0" applyFont="1" applyAlignment="1">
      <alignment vertical="top" wrapText="1"/>
    </xf>
    <xf numFmtId="0" fontId="26" fillId="0" borderId="0" xfId="0" applyFont="1" applyAlignment="1">
      <alignment horizontal="left"/>
    </xf>
    <xf numFmtId="0" fontId="25" fillId="2" borderId="0" xfId="0" applyFont="1" applyFill="1"/>
    <xf numFmtId="3" fontId="20" fillId="2" borderId="0" xfId="0" applyNumberFormat="1" applyFont="1" applyFill="1"/>
    <xf numFmtId="3" fontId="22" fillId="0" borderId="0" xfId="0" applyNumberFormat="1" applyFont="1"/>
    <xf numFmtId="0" fontId="30" fillId="0" borderId="0" xfId="0" applyFont="1" applyAlignment="1">
      <alignment horizontal="center"/>
    </xf>
    <xf numFmtId="0" fontId="8" fillId="2" borderId="0" xfId="0" applyFont="1" applyFill="1"/>
    <xf numFmtId="3" fontId="19" fillId="0" borderId="0" xfId="0" quotePrefix="1" applyNumberFormat="1" applyFont="1" applyAlignment="1">
      <alignment horizontal="right"/>
    </xf>
    <xf numFmtId="166" fontId="19" fillId="0" borderId="0" xfId="0" quotePrefix="1" applyNumberFormat="1" applyFont="1" applyAlignment="1">
      <alignment horizontal="right"/>
    </xf>
    <xf numFmtId="0" fontId="19" fillId="0" borderId="0" xfId="0" quotePrefix="1" applyFont="1" applyAlignment="1">
      <alignment horizontal="right"/>
    </xf>
    <xf numFmtId="0" fontId="19" fillId="2" borderId="0" xfId="0" quotePrefix="1" applyFont="1" applyFill="1"/>
    <xf numFmtId="9" fontId="19" fillId="0" borderId="0" xfId="0" applyNumberFormat="1" applyFont="1"/>
    <xf numFmtId="9" fontId="20" fillId="0" borderId="2" xfId="0" applyNumberFormat="1" applyFont="1" applyBorder="1"/>
    <xf numFmtId="9" fontId="20" fillId="0" borderId="0" xfId="0" applyNumberFormat="1" applyFont="1"/>
    <xf numFmtId="9" fontId="20" fillId="0" borderId="3" xfId="0" applyNumberFormat="1" applyFont="1" applyBorder="1"/>
    <xf numFmtId="3" fontId="32" fillId="0" borderId="0" xfId="0" applyNumberFormat="1" applyFont="1"/>
    <xf numFmtId="0" fontId="10" fillId="2" borderId="0" xfId="0" applyFont="1" applyFill="1"/>
    <xf numFmtId="0" fontId="33" fillId="0" borderId="0" xfId="0" applyFont="1"/>
    <xf numFmtId="0" fontId="22" fillId="2" borderId="0" xfId="0" applyFont="1" applyFill="1"/>
    <xf numFmtId="0" fontId="21" fillId="0" borderId="0" xfId="0" applyFont="1"/>
    <xf numFmtId="0" fontId="26" fillId="0" borderId="0" xfId="0" applyFont="1" applyAlignment="1">
      <alignment horizontal="center"/>
    </xf>
    <xf numFmtId="166" fontId="26" fillId="0" borderId="0" xfId="1" applyNumberFormat="1" applyFont="1" applyBorder="1"/>
    <xf numFmtId="0" fontId="33" fillId="2" borderId="0" xfId="0" applyFont="1" applyFill="1"/>
    <xf numFmtId="0" fontId="1" fillId="0" borderId="0" xfId="0" applyFont="1" applyAlignment="1">
      <alignment vertical="top" wrapText="1"/>
    </xf>
    <xf numFmtId="0" fontId="19" fillId="0" borderId="0" xfId="0" applyFont="1" applyAlignment="1">
      <alignment horizontal="left" indent="1"/>
    </xf>
    <xf numFmtId="0" fontId="20" fillId="0" borderId="0" xfId="0" applyFont="1" applyAlignment="1">
      <alignment horizontal="left" indent="1"/>
    </xf>
    <xf numFmtId="0" fontId="35" fillId="0" borderId="0" xfId="0" applyFont="1"/>
    <xf numFmtId="0" fontId="19" fillId="0" borderId="0" xfId="0" quotePrefix="1" applyFont="1" applyAlignment="1">
      <alignment horizontal="left" indent="1"/>
    </xf>
    <xf numFmtId="0" fontId="22" fillId="0" borderId="0" xfId="0" applyFont="1" applyAlignment="1">
      <alignment horizontal="left" indent="1"/>
    </xf>
    <xf numFmtId="0" fontId="36" fillId="0" borderId="0" xfId="0" applyFont="1"/>
    <xf numFmtId="10" fontId="19" fillId="0" borderId="0" xfId="0" quotePrefix="1" applyNumberFormat="1" applyFont="1" applyAlignment="1">
      <alignment horizontal="right"/>
    </xf>
    <xf numFmtId="166" fontId="19" fillId="0" borderId="0" xfId="0" quotePrefix="1" applyNumberFormat="1" applyFont="1"/>
    <xf numFmtId="166" fontId="20" fillId="0" borderId="2" xfId="0" quotePrefix="1" applyNumberFormat="1" applyFont="1" applyBorder="1"/>
    <xf numFmtId="166" fontId="20" fillId="0" borderId="3" xfId="0" applyNumberFormat="1" applyFont="1" applyBorder="1"/>
    <xf numFmtId="166" fontId="19" fillId="0" borderId="0" xfId="1" applyNumberFormat="1" applyFont="1"/>
    <xf numFmtId="3" fontId="38" fillId="4" borderId="0" xfId="0" applyNumberFormat="1" applyFont="1" applyFill="1"/>
    <xf numFmtId="3" fontId="24" fillId="4" borderId="0" xfId="0" applyNumberFormat="1" applyFont="1" applyFill="1"/>
    <xf numFmtId="1" fontId="26" fillId="5" borderId="0" xfId="0" applyNumberFormat="1" applyFont="1" applyFill="1"/>
    <xf numFmtId="3" fontId="26" fillId="5" borderId="0" xfId="0" applyNumberFormat="1" applyFont="1" applyFill="1"/>
    <xf numFmtId="166" fontId="19" fillId="5" borderId="0" xfId="0" applyNumberFormat="1" applyFont="1" applyFill="1"/>
    <xf numFmtId="166" fontId="26" fillId="5" borderId="0" xfId="0" applyNumberFormat="1" applyFont="1" applyFill="1"/>
    <xf numFmtId="166" fontId="26" fillId="5" borderId="0" xfId="1" applyNumberFormat="1" applyFont="1" applyFill="1"/>
    <xf numFmtId="0" fontId="40" fillId="0" borderId="0" xfId="0" applyFont="1" applyAlignment="1">
      <alignment horizontal="left" vertical="top" wrapText="1" indent="1"/>
    </xf>
    <xf numFmtId="0" fontId="41" fillId="0" borderId="0" xfId="2" applyFont="1" applyAlignment="1">
      <alignment vertical="top" wrapText="1"/>
    </xf>
    <xf numFmtId="0" fontId="39" fillId="0" borderId="0" xfId="2" applyAlignment="1">
      <alignment vertical="top" wrapText="1"/>
    </xf>
    <xf numFmtId="0" fontId="6" fillId="5" borderId="0" xfId="0" applyFont="1" applyFill="1" applyAlignment="1">
      <alignment vertical="top" wrapText="1"/>
    </xf>
    <xf numFmtId="0" fontId="3" fillId="3" borderId="0" xfId="0" applyFont="1" applyFill="1" applyAlignment="1">
      <alignment vertical="top" wrapText="1"/>
    </xf>
    <xf numFmtId="0" fontId="3" fillId="3" borderId="0" xfId="0" applyFont="1" applyFill="1" applyAlignment="1">
      <alignment vertical="top"/>
    </xf>
    <xf numFmtId="0" fontId="21" fillId="3" borderId="0" xfId="0" applyFont="1" applyFill="1"/>
    <xf numFmtId="0" fontId="21" fillId="3" borderId="0" xfId="0" applyFont="1" applyFill="1" applyAlignment="1">
      <alignment horizontal="center"/>
    </xf>
    <xf numFmtId="0" fontId="37" fillId="3" borderId="0" xfId="0" applyFont="1" applyFill="1" applyAlignment="1">
      <alignment horizontal="center"/>
    </xf>
    <xf numFmtId="0" fontId="24" fillId="3" borderId="0" xfId="0" applyFont="1" applyFill="1"/>
    <xf numFmtId="3" fontId="24" fillId="3" borderId="0" xfId="0" applyNumberFormat="1" applyFont="1" applyFill="1"/>
    <xf numFmtId="0" fontId="14" fillId="0" borderId="0" xfId="0" applyFont="1" applyAlignment="1">
      <alignment horizontal="right" vertical="top"/>
    </xf>
    <xf numFmtId="0" fontId="0" fillId="0" borderId="0" xfId="0" applyAlignment="1">
      <alignment vertical="top"/>
    </xf>
    <xf numFmtId="167" fontId="31" fillId="2" borderId="2" xfId="0" applyNumberFormat="1" applyFont="1" applyFill="1" applyBorder="1"/>
    <xf numFmtId="167" fontId="28" fillId="2" borderId="2" xfId="0" applyNumberFormat="1" applyFont="1" applyFill="1" applyBorder="1"/>
    <xf numFmtId="3" fontId="26" fillId="4" borderId="0" xfId="0" applyNumberFormat="1" applyFont="1" applyFill="1"/>
    <xf numFmtId="166" fontId="26" fillId="4" borderId="0" xfId="0" applyNumberFormat="1" applyFont="1" applyFill="1"/>
    <xf numFmtId="168" fontId="26" fillId="5" borderId="0" xfId="0" applyNumberFormat="1" applyFont="1" applyFill="1"/>
    <xf numFmtId="168" fontId="19" fillId="0" borderId="0" xfId="0" quotePrefix="1" applyNumberFormat="1" applyFont="1" applyAlignment="1">
      <alignment horizontal="center"/>
    </xf>
    <xf numFmtId="168" fontId="19" fillId="5" borderId="0" xfId="0" quotePrefix="1" applyNumberFormat="1" applyFont="1" applyFill="1"/>
    <xf numFmtId="168" fontId="28" fillId="0" borderId="2" xfId="0" applyNumberFormat="1" applyFont="1" applyBorder="1"/>
    <xf numFmtId="168" fontId="19" fillId="0" borderId="0" xfId="0" quotePrefix="1" applyNumberFormat="1" applyFont="1"/>
    <xf numFmtId="168" fontId="28" fillId="0" borderId="3" xfId="0" applyNumberFormat="1" applyFont="1" applyBorder="1"/>
    <xf numFmtId="168" fontId="0" fillId="0" borderId="0" xfId="0" applyNumberFormat="1"/>
    <xf numFmtId="168" fontId="26" fillId="0" borderId="0" xfId="0" applyNumberFormat="1" applyFont="1"/>
    <xf numFmtId="168" fontId="28" fillId="0" borderId="0" xfId="0" applyNumberFormat="1" applyFont="1"/>
    <xf numFmtId="168" fontId="19" fillId="0" borderId="0" xfId="0" applyNumberFormat="1" applyFont="1"/>
    <xf numFmtId="168" fontId="31" fillId="0" borderId="2" xfId="0" applyNumberFormat="1" applyFont="1" applyBorder="1"/>
    <xf numFmtId="168" fontId="27" fillId="0" borderId="0" xfId="0" applyNumberFormat="1" applyFont="1"/>
    <xf numFmtId="168" fontId="31" fillId="2" borderId="0" xfId="0" applyNumberFormat="1" applyFont="1" applyFill="1"/>
    <xf numFmtId="168" fontId="28" fillId="2" borderId="0" xfId="0" applyNumberFormat="1" applyFont="1" applyFill="1"/>
    <xf numFmtId="168" fontId="28" fillId="2" borderId="0" xfId="0" applyNumberFormat="1" applyFont="1" applyFill="1" applyAlignment="1">
      <alignment horizontal="center"/>
    </xf>
    <xf numFmtId="168" fontId="32" fillId="0" borderId="0" xfId="0" applyNumberFormat="1" applyFont="1"/>
    <xf numFmtId="168" fontId="19" fillId="5" borderId="0" xfId="0" applyNumberFormat="1" applyFont="1" applyFill="1"/>
    <xf numFmtId="168" fontId="31" fillId="0" borderId="0" xfId="0" applyNumberFormat="1" applyFont="1"/>
    <xf numFmtId="168" fontId="20" fillId="0" borderId="0" xfId="0" quotePrefix="1" applyNumberFormat="1" applyFont="1" applyAlignment="1">
      <alignment horizontal="center"/>
    </xf>
    <xf numFmtId="168" fontId="28" fillId="5" borderId="0" xfId="0" applyNumberFormat="1" applyFont="1" applyFill="1"/>
    <xf numFmtId="168" fontId="28" fillId="0" borderId="0" xfId="0" quotePrefix="1" applyNumberFormat="1" applyFont="1" applyAlignment="1">
      <alignment horizontal="center"/>
    </xf>
    <xf numFmtId="168" fontId="20" fillId="0" borderId="0" xfId="0" quotePrefix="1" applyNumberFormat="1" applyFont="1" applyAlignment="1">
      <alignment horizontal="right"/>
    </xf>
    <xf numFmtId="168" fontId="26" fillId="0" borderId="0" xfId="0" quotePrefix="1" applyNumberFormat="1" applyFont="1" applyAlignment="1">
      <alignment horizontal="right"/>
    </xf>
    <xf numFmtId="168" fontId="32" fillId="0" borderId="0" xfId="0" quotePrefix="1" applyNumberFormat="1" applyFont="1" applyAlignment="1">
      <alignment horizontal="right"/>
    </xf>
    <xf numFmtId="168" fontId="26" fillId="5" borderId="0" xfId="0" quotePrefix="1" applyNumberFormat="1" applyFont="1" applyFill="1" applyAlignment="1">
      <alignment horizontal="right"/>
    </xf>
    <xf numFmtId="168" fontId="26" fillId="2" borderId="0" xfId="0" applyNumberFormat="1" applyFont="1" applyFill="1" applyAlignment="1">
      <alignment horizontal="right"/>
    </xf>
    <xf numFmtId="168" fontId="28" fillId="0" borderId="0" xfId="0" applyNumberFormat="1" applyFont="1" applyAlignment="1">
      <alignment horizontal="right"/>
    </xf>
    <xf numFmtId="168" fontId="19" fillId="4" borderId="0" xfId="0" applyNumberFormat="1" applyFont="1" applyFill="1"/>
    <xf numFmtId="168" fontId="32" fillId="4" borderId="0" xfId="0" applyNumberFormat="1" applyFont="1" applyFill="1"/>
    <xf numFmtId="168" fontId="3" fillId="3" borderId="0" xfId="0" applyNumberFormat="1" applyFont="1" applyFill="1" applyAlignment="1">
      <alignment vertical="top"/>
    </xf>
    <xf numFmtId="168" fontId="4" fillId="0" borderId="0" xfId="0" applyNumberFormat="1" applyFont="1" applyAlignment="1">
      <alignment vertical="top" wrapText="1"/>
    </xf>
    <xf numFmtId="168" fontId="1" fillId="0" borderId="0" xfId="0" applyNumberFormat="1" applyFont="1" applyAlignment="1">
      <alignment vertical="top" wrapText="1"/>
    </xf>
    <xf numFmtId="168" fontId="0" fillId="0" borderId="5" xfId="0" applyNumberFormat="1" applyBorder="1" applyAlignment="1">
      <alignment vertical="top" wrapText="1"/>
    </xf>
    <xf numFmtId="168" fontId="0" fillId="0" borderId="0" xfId="0" applyNumberFormat="1" applyAlignment="1">
      <alignment vertical="top" wrapText="1"/>
    </xf>
    <xf numFmtId="168" fontId="20" fillId="0" borderId="0" xfId="0" applyNumberFormat="1" applyFont="1"/>
    <xf numFmtId="168" fontId="26" fillId="4" borderId="0" xfId="0" applyNumberFormat="1" applyFont="1" applyFill="1"/>
    <xf numFmtId="168" fontId="34" fillId="0" borderId="0" xfId="0" applyNumberFormat="1" applyFont="1"/>
    <xf numFmtId="168" fontId="22" fillId="0" borderId="0" xfId="0" applyNumberFormat="1" applyFont="1"/>
    <xf numFmtId="168" fontId="22" fillId="4" borderId="0" xfId="0" applyNumberFormat="1" applyFont="1" applyFill="1"/>
    <xf numFmtId="168" fontId="32" fillId="0" borderId="0" xfId="0" applyNumberFormat="1" applyFont="1" applyAlignment="1">
      <alignment horizontal="right"/>
    </xf>
    <xf numFmtId="168" fontId="26" fillId="0" borderId="0" xfId="0" applyNumberFormat="1" applyFont="1" applyAlignment="1">
      <alignment horizontal="right"/>
    </xf>
    <xf numFmtId="168" fontId="33" fillId="0" borderId="0" xfId="0" applyNumberFormat="1" applyFont="1"/>
    <xf numFmtId="168" fontId="32" fillId="0" borderId="0" xfId="0" quotePrefix="1" applyNumberFormat="1" applyFont="1"/>
    <xf numFmtId="168" fontId="31" fillId="0" borderId="2" xfId="0" quotePrefix="1" applyNumberFormat="1" applyFont="1" applyBorder="1"/>
    <xf numFmtId="168" fontId="20" fillId="0" borderId="2" xfId="0" quotePrefix="1" applyNumberFormat="1" applyFont="1" applyBorder="1"/>
    <xf numFmtId="168" fontId="26" fillId="0" borderId="0" xfId="0" quotePrefix="1" applyNumberFormat="1" applyFont="1"/>
    <xf numFmtId="168" fontId="28" fillId="0" borderId="2" xfId="0" quotePrefix="1" applyNumberFormat="1" applyFont="1" applyBorder="1"/>
    <xf numFmtId="168" fontId="19" fillId="4" borderId="0" xfId="0" quotePrefix="1" applyNumberFormat="1" applyFont="1" applyFill="1"/>
    <xf numFmtId="168" fontId="31" fillId="4" borderId="0" xfId="0" applyNumberFormat="1" applyFont="1" applyFill="1"/>
    <xf numFmtId="168" fontId="28" fillId="4" borderId="0" xfId="0" applyNumberFormat="1" applyFont="1" applyFill="1"/>
    <xf numFmtId="168" fontId="32" fillId="4" borderId="0" xfId="0" quotePrefix="1" applyNumberFormat="1" applyFont="1" applyFill="1"/>
    <xf numFmtId="168" fontId="31" fillId="4" borderId="0" xfId="0" quotePrefix="1" applyNumberFormat="1" applyFont="1" applyFill="1"/>
    <xf numFmtId="168" fontId="20" fillId="4" borderId="0" xfId="0" quotePrefix="1" applyNumberFormat="1" applyFont="1" applyFill="1"/>
    <xf numFmtId="165" fontId="33" fillId="0" borderId="0" xfId="0" applyNumberFormat="1" applyFont="1"/>
    <xf numFmtId="0" fontId="29" fillId="0" borderId="0" xfId="0" applyFont="1"/>
    <xf numFmtId="0" fontId="21" fillId="3" borderId="0" xfId="0" applyFont="1" applyFill="1" applyAlignment="1">
      <alignment horizontal="right"/>
    </xf>
    <xf numFmtId="0" fontId="21" fillId="3" borderId="1" xfId="0" applyFont="1" applyFill="1" applyBorder="1" applyAlignment="1">
      <alignment horizontal="right"/>
    </xf>
    <xf numFmtId="168" fontId="20" fillId="0" borderId="3" xfId="0" applyNumberFormat="1" applyFont="1" applyBorder="1"/>
    <xf numFmtId="168" fontId="20" fillId="0" borderId="2" xfId="0" applyNumberFormat="1" applyFont="1" applyBorder="1"/>
    <xf numFmtId="168" fontId="1" fillId="0" borderId="0" xfId="0" applyNumberFormat="1" applyFont="1"/>
    <xf numFmtId="168" fontId="22" fillId="0" borderId="2" xfId="0" applyNumberFormat="1" applyFont="1" applyBorder="1"/>
    <xf numFmtId="168" fontId="19" fillId="0" borderId="0" xfId="0" quotePrefix="1" applyNumberFormat="1" applyFont="1" applyAlignment="1">
      <alignment horizontal="right"/>
    </xf>
    <xf numFmtId="168" fontId="1" fillId="0" borderId="2" xfId="0" applyNumberFormat="1" applyFont="1" applyBorder="1" applyAlignment="1">
      <alignment vertical="top" wrapText="1"/>
    </xf>
    <xf numFmtId="0" fontId="1" fillId="0" borderId="2" xfId="0" applyFont="1" applyBorder="1" applyAlignment="1">
      <alignment vertical="top" wrapText="1"/>
    </xf>
    <xf numFmtId="0" fontId="3" fillId="3" borderId="0" xfId="0" applyFont="1" applyFill="1" applyAlignment="1">
      <alignment horizontal="center" vertical="center" textRotation="90"/>
    </xf>
  </cellXfs>
  <cellStyles count="3">
    <cellStyle name="Hyperlink" xfId="2" builtinId="8"/>
    <cellStyle name="Normal" xfId="0" builtinId="0"/>
    <cellStyle name="Percent" xfId="1" builtinId="5"/>
  </cellStyles>
  <dxfs count="50">
    <dxf>
      <font>
        <color rgb="FF006100"/>
      </font>
      <fill>
        <patternFill>
          <bgColor rgb="FFC6EFCE"/>
        </patternFill>
      </fill>
    </dxf>
    <dxf>
      <font>
        <color rgb="FFFFFF66"/>
      </font>
      <fill>
        <patternFill>
          <bgColor rgb="FFFF0000"/>
        </patternFill>
      </fill>
    </dxf>
    <dxf>
      <fill>
        <patternFill>
          <bgColor rgb="FFFF0000"/>
        </patternFill>
      </fill>
    </dxf>
    <dxf>
      <fill>
        <patternFill>
          <bgColor rgb="FFFF0000"/>
        </patternFill>
      </fill>
    </dxf>
    <dxf>
      <fill>
        <patternFill>
          <bgColor rgb="FFFF0000"/>
        </patternFill>
      </fill>
    </dxf>
    <dxf>
      <font>
        <color rgb="FFFFFF00"/>
      </font>
      <fill>
        <patternFill>
          <bgColor rgb="FFFF0000"/>
        </patternFill>
      </fill>
    </dxf>
    <dxf>
      <font>
        <color rgb="FFFFFF00"/>
      </font>
      <fill>
        <patternFill>
          <bgColor rgb="FFFF0000"/>
        </patternFill>
      </fill>
    </dxf>
    <dxf>
      <fill>
        <patternFill>
          <bgColor rgb="FFFF0000"/>
        </patternFill>
      </fill>
    </dxf>
    <dxf>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s>
  <tableStyles count="0" defaultTableStyle="TableStyleMedium9" defaultPivotStyle="PivotStyleLight16"/>
  <colors>
    <mruColors>
      <color rgb="FFFFFFCC"/>
      <color rgb="FFFFFF66"/>
      <color rgb="FFFFFF99"/>
      <color rgb="FF004646"/>
      <color rgb="FF007300"/>
      <color rgb="FFFF7C00"/>
      <color rgb="FF005A46"/>
      <color rgb="FF005A00"/>
      <color rgb="FF006600"/>
      <color rgb="FF00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Aantal producten verkocht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Dashboard!$AF$5</c:f>
              <c:strCache>
                <c:ptCount val="1"/>
                <c:pt idx="0">
                  <c:v>Aantal producten</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Dashboard!$AI$5:$AO$5</c:f>
              <c:numCache>
                <c:formatCode>#,##0</c:formatCode>
                <c:ptCount val="7"/>
                <c:pt idx="0">
                  <c:v>1200</c:v>
                </c:pt>
                <c:pt idx="1">
                  <c:v>1200</c:v>
                </c:pt>
                <c:pt idx="2">
                  <c:v>1200</c:v>
                </c:pt>
                <c:pt idx="3">
                  <c:v>1300</c:v>
                </c:pt>
                <c:pt idx="4">
                  <c:v>1400</c:v>
                </c:pt>
                <c:pt idx="5">
                  <c:v>1500</c:v>
                </c:pt>
                <c:pt idx="6">
                  <c:v>1500</c:v>
                </c:pt>
              </c:numCache>
            </c:numRef>
          </c:val>
          <c:extLst>
            <c:ext xmlns:c16="http://schemas.microsoft.com/office/drawing/2014/chart" uri="{C3380CC4-5D6E-409C-BE32-E72D297353CC}">
              <c16:uniqueId val="{00000000-CA26-4389-9BB5-E5445D465F5A}"/>
            </c:ext>
          </c:extLst>
        </c:ser>
        <c:dLbls>
          <c:showLegendKey val="0"/>
          <c:showVal val="0"/>
          <c:showCatName val="0"/>
          <c:showSerName val="0"/>
          <c:showPercent val="0"/>
          <c:showBubbleSize val="0"/>
        </c:dLbls>
        <c:gapWidth val="219"/>
        <c:overlap val="-27"/>
        <c:axId val="559422479"/>
        <c:axId val="455299359"/>
      </c:bar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in val="9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majorUnit val="1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Gemiddelde</a:t>
            </a:r>
            <a:r>
              <a:rPr lang="en-US" b="1" baseline="0"/>
              <a:t> verkoopprijs</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Dashboard!$AF$6</c:f>
              <c:strCache>
                <c:ptCount val="1"/>
                <c:pt idx="0">
                  <c:v>Gem verkoopprijs</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Dashboard!$AI$6:$AO$6</c:f>
              <c:numCache>
                <c:formatCode>"€"\ #,##0;\-"€"\ #,##0;\-</c:formatCode>
                <c:ptCount val="7"/>
                <c:pt idx="0">
                  <c:v>416.66666666666669</c:v>
                </c:pt>
                <c:pt idx="1">
                  <c:v>380</c:v>
                </c:pt>
                <c:pt idx="2">
                  <c:v>387.6</c:v>
                </c:pt>
                <c:pt idx="3">
                  <c:v>395.35200000000003</c:v>
                </c:pt>
                <c:pt idx="4">
                  <c:v>403.25904000000003</c:v>
                </c:pt>
                <c:pt idx="5">
                  <c:v>411.32422080000003</c:v>
                </c:pt>
                <c:pt idx="6">
                  <c:v>419.55070521600004</c:v>
                </c:pt>
              </c:numCache>
            </c:numRef>
          </c:val>
          <c:smooth val="0"/>
          <c:extLst>
            <c:ext xmlns:c16="http://schemas.microsoft.com/office/drawing/2014/chart" uri="{C3380CC4-5D6E-409C-BE32-E72D297353CC}">
              <c16:uniqueId val="{00000000-98BF-4FA0-8F70-19DA79632CFD}"/>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Opbrengsten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areaChart>
        <c:grouping val="stacked"/>
        <c:varyColors val="0"/>
        <c:ser>
          <c:idx val="0"/>
          <c:order val="0"/>
          <c:tx>
            <c:strRef>
              <c:f>Dashboard!$AF$8</c:f>
              <c:strCache>
                <c:ptCount val="1"/>
                <c:pt idx="0">
                  <c:v>Productgroep</c:v>
                </c:pt>
              </c:strCache>
            </c:strRef>
          </c:tx>
          <c:spPr>
            <a:solidFill>
              <a:schemeClr val="accent1"/>
            </a:solidFill>
            <a:ln>
              <a:noFill/>
            </a:ln>
            <a:effectLst/>
          </c:spPr>
          <c:cat>
            <c:strRef>
              <c:f>Dashboard!$AI$3:$AO$3</c:f>
              <c:strCache>
                <c:ptCount val="7"/>
                <c:pt idx="0">
                  <c:v>R 24</c:v>
                </c:pt>
                <c:pt idx="1">
                  <c:v>R 25</c:v>
                </c:pt>
                <c:pt idx="2">
                  <c:v>P 26</c:v>
                </c:pt>
                <c:pt idx="3">
                  <c:v>P 27</c:v>
                </c:pt>
                <c:pt idx="4">
                  <c:v>P 28</c:v>
                </c:pt>
                <c:pt idx="5">
                  <c:v>P 29</c:v>
                </c:pt>
                <c:pt idx="6">
                  <c:v>P 30</c:v>
                </c:pt>
              </c:strCache>
            </c:strRef>
          </c:cat>
          <c:val>
            <c:numRef>
              <c:f>Dashboard!$AI$8:$AO$8</c:f>
              <c:numCache>
                <c:formatCode>"€"\ #,##0;\-"€"\ #,##0;\-</c:formatCode>
                <c:ptCount val="7"/>
                <c:pt idx="0">
                  <c:v>500</c:v>
                </c:pt>
                <c:pt idx="1">
                  <c:v>456</c:v>
                </c:pt>
                <c:pt idx="2">
                  <c:v>465.12</c:v>
                </c:pt>
                <c:pt idx="3">
                  <c:v>513.95760000000007</c:v>
                </c:pt>
                <c:pt idx="4">
                  <c:v>564.56265600000006</c:v>
                </c:pt>
                <c:pt idx="5">
                  <c:v>616.9863312</c:v>
                </c:pt>
                <c:pt idx="6">
                  <c:v>629.32605782400003</c:v>
                </c:pt>
              </c:numCache>
            </c:numRef>
          </c:val>
          <c:extLst>
            <c:ext xmlns:c16="http://schemas.microsoft.com/office/drawing/2014/chart" uri="{C3380CC4-5D6E-409C-BE32-E72D297353CC}">
              <c16:uniqueId val="{00000000-D3E6-448B-A991-3DD963B3418C}"/>
            </c:ext>
          </c:extLst>
        </c:ser>
        <c:ser>
          <c:idx val="1"/>
          <c:order val="1"/>
          <c:tx>
            <c:strRef>
              <c:f>Dashboard!$AF$9</c:f>
              <c:strCache>
                <c:ptCount val="1"/>
                <c:pt idx="0">
                  <c:v>Overige</c:v>
                </c:pt>
              </c:strCache>
            </c:strRef>
          </c:tx>
          <c:spPr>
            <a:solidFill>
              <a:schemeClr val="accent2"/>
            </a:solidFill>
            <a:ln>
              <a:noFill/>
            </a:ln>
            <a:effectLst/>
          </c:spPr>
          <c:val>
            <c:numRef>
              <c:f>Dashboard!$AI$9:$AO$9</c:f>
              <c:numCache>
                <c:formatCode>"€"\ #,##0;\-"€"\ #,##0;\-</c:formatCode>
                <c:ptCount val="7"/>
                <c:pt idx="0">
                  <c:v>23</c:v>
                </c:pt>
                <c:pt idx="1">
                  <c:v>23</c:v>
                </c:pt>
                <c:pt idx="2">
                  <c:v>53.46</c:v>
                </c:pt>
                <c:pt idx="3">
                  <c:v>23.929200000000002</c:v>
                </c:pt>
                <c:pt idx="4">
                  <c:v>24.407784000000003</c:v>
                </c:pt>
                <c:pt idx="5">
                  <c:v>24.895939680000001</c:v>
                </c:pt>
                <c:pt idx="6">
                  <c:v>25.393858473600002</c:v>
                </c:pt>
              </c:numCache>
            </c:numRef>
          </c:val>
          <c:extLst>
            <c:ext xmlns:c16="http://schemas.microsoft.com/office/drawing/2014/chart" uri="{C3380CC4-5D6E-409C-BE32-E72D297353CC}">
              <c16:uniqueId val="{00000000-0C5B-43E4-97E7-8D2E42DFF439}"/>
            </c:ext>
          </c:extLst>
        </c:ser>
        <c:ser>
          <c:idx val="2"/>
          <c:order val="2"/>
          <c:tx>
            <c:strRef>
              <c:f>Dashboard!$AF$10</c:f>
              <c:strCache>
                <c:ptCount val="1"/>
              </c:strCache>
            </c:strRef>
          </c:tx>
          <c:spPr>
            <a:solidFill>
              <a:schemeClr val="bg1">
                <a:lumMod val="65000"/>
              </a:schemeClr>
            </a:solidFill>
            <a:ln>
              <a:noFill/>
            </a:ln>
            <a:effectLst/>
          </c:spPr>
          <c:val>
            <c:numRef>
              <c:f>Dashboard!$AI$10:$AO$10</c:f>
              <c:numCache>
                <c:formatCode>"€"\ #,##0;\-"€"\ #,##0;\-</c:formatCode>
                <c:ptCount val="7"/>
              </c:numCache>
            </c:numRef>
          </c:val>
          <c:extLst>
            <c:ext xmlns:c16="http://schemas.microsoft.com/office/drawing/2014/chart" uri="{C3380CC4-5D6E-409C-BE32-E72D297353CC}">
              <c16:uniqueId val="{00000001-0C5B-43E4-97E7-8D2E42DFF439}"/>
            </c:ext>
          </c:extLst>
        </c:ser>
        <c:dLbls>
          <c:showLegendKey val="0"/>
          <c:showVal val="0"/>
          <c:showCatName val="0"/>
          <c:showSerName val="0"/>
          <c:showPercent val="0"/>
          <c:showBubbleSize val="0"/>
        </c:dLbls>
        <c:axId val="559422479"/>
        <c:axId val="455299359"/>
      </c:areaChart>
      <c:catAx>
        <c:axId val="5594224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in val="400"/>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Brutoresultaat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Dashboard!$AF$11</c:f>
              <c:strCache>
                <c:ptCount val="1"/>
                <c:pt idx="0">
                  <c:v>Brutomarge</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Dashboard!$AI$11:$AO$11</c:f>
              <c:numCache>
                <c:formatCode>"€"\ #,##0;\-"€"\ #,##0;\-</c:formatCode>
                <c:ptCount val="7"/>
                <c:pt idx="0">
                  <c:v>223</c:v>
                </c:pt>
                <c:pt idx="1">
                  <c:v>159</c:v>
                </c:pt>
                <c:pt idx="2">
                  <c:v>239.50800000000004</c:v>
                </c:pt>
                <c:pt idx="3">
                  <c:v>229.51224000000008</c:v>
                </c:pt>
                <c:pt idx="4">
                  <c:v>250.23284640000003</c:v>
                </c:pt>
                <c:pt idx="5">
                  <c:v>271.69047215999996</c:v>
                </c:pt>
                <c:pt idx="6">
                  <c:v>277.12428160319996</c:v>
                </c:pt>
              </c:numCache>
            </c:numRef>
          </c:val>
          <c:extLst>
            <c:ext xmlns:c16="http://schemas.microsoft.com/office/drawing/2014/chart" uri="{C3380CC4-5D6E-409C-BE32-E72D297353CC}">
              <c16:uniqueId val="{00000000-E2F8-4D06-AC5E-29F78E7A892F}"/>
            </c:ext>
          </c:extLst>
        </c:ser>
        <c:dLbls>
          <c:showLegendKey val="0"/>
          <c:showVal val="0"/>
          <c:showCatName val="0"/>
          <c:showSerName val="0"/>
          <c:showPercent val="0"/>
          <c:showBubbleSize val="0"/>
        </c:dLbls>
        <c:gapWidth val="219"/>
        <c:overlap val="-27"/>
        <c:axId val="559422479"/>
        <c:axId val="455299359"/>
      </c:barChart>
      <c:lineChart>
        <c:grouping val="standard"/>
        <c:varyColors val="0"/>
        <c:ser>
          <c:idx val="1"/>
          <c:order val="1"/>
          <c:tx>
            <c:strRef>
              <c:f>Dashboard!$AF$12</c:f>
              <c:strCache>
                <c:ptCount val="1"/>
                <c:pt idx="0">
                  <c:v>Brutomarge%</c:v>
                </c:pt>
              </c:strCache>
            </c:strRef>
          </c:tx>
          <c:spPr>
            <a:ln w="28575" cap="rnd">
              <a:solidFill>
                <a:schemeClr val="accent2"/>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Dashboard!$AI$12:$AO$12</c:f>
              <c:numCache>
                <c:formatCode>0.0%</c:formatCode>
                <c:ptCount val="7"/>
                <c:pt idx="0">
                  <c:v>0.42638623326959846</c:v>
                </c:pt>
                <c:pt idx="1">
                  <c:v>0.33194154488517746</c:v>
                </c:pt>
                <c:pt idx="2">
                  <c:v>0.46185352308226313</c:v>
                </c:pt>
                <c:pt idx="3">
                  <c:v>0.42669245647969056</c:v>
                </c:pt>
                <c:pt idx="4">
                  <c:v>0.42486486486486486</c:v>
                </c:pt>
                <c:pt idx="5">
                  <c:v>0.42327150084317028</c:v>
                </c:pt>
                <c:pt idx="6">
                  <c:v>0.42327150084317028</c:v>
                </c:pt>
              </c:numCache>
            </c:numRef>
          </c:val>
          <c:smooth val="0"/>
          <c:extLst>
            <c:ext xmlns:c16="http://schemas.microsoft.com/office/drawing/2014/chart" uri="{C3380CC4-5D6E-409C-BE32-E72D297353CC}">
              <c16:uniqueId val="{00000001-E2F8-4D06-AC5E-29F78E7A892F}"/>
            </c:ext>
          </c:extLst>
        </c:ser>
        <c:dLbls>
          <c:showLegendKey val="0"/>
          <c:showVal val="0"/>
          <c:showCatName val="0"/>
          <c:showSerName val="0"/>
          <c:showPercent val="0"/>
          <c:showBubbleSize val="0"/>
        </c:dLbls>
        <c:marker val="1"/>
        <c:smooth val="0"/>
        <c:axId val="650054239"/>
        <c:axId val="655594591"/>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in val="150"/>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majorUnit val="20"/>
      </c:valAx>
      <c:valAx>
        <c:axId val="655594591"/>
        <c:scaling>
          <c:orientation val="minMax"/>
          <c:min val="0.2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50054239"/>
        <c:crosses val="max"/>
        <c:crossBetween val="between"/>
      </c:valAx>
      <c:catAx>
        <c:axId val="650054239"/>
        <c:scaling>
          <c:orientation val="minMax"/>
        </c:scaling>
        <c:delete val="1"/>
        <c:axPos val="b"/>
        <c:numFmt formatCode="General" sourceLinked="1"/>
        <c:majorTickMark val="out"/>
        <c:minorTickMark val="none"/>
        <c:tickLblPos val="nextTo"/>
        <c:crossAx val="655594591"/>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Solvabiliteit</a:t>
            </a:r>
            <a:r>
              <a:rPr lang="en-US" b="1" baseline="0"/>
              <a:t> EV/TV</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Dashboard!$AF$18</c:f>
              <c:strCache>
                <c:ptCount val="1"/>
                <c:pt idx="0">
                  <c:v>Solvabiliteit</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Dashboard!$AI$18:$AO$18</c:f>
              <c:numCache>
                <c:formatCode>0.0%</c:formatCode>
                <c:ptCount val="7"/>
                <c:pt idx="1">
                  <c:v>0.67795275590551185</c:v>
                </c:pt>
                <c:pt idx="2">
                  <c:v>0.71925166334055901</c:v>
                </c:pt>
                <c:pt idx="3">
                  <c:v>0.70335128668123537</c:v>
                </c:pt>
                <c:pt idx="4">
                  <c:v>0.69755986758850441</c:v>
                </c:pt>
                <c:pt idx="5">
                  <c:v>0.75256330299070551</c:v>
                </c:pt>
                <c:pt idx="6">
                  <c:v>0.80159031696463945</c:v>
                </c:pt>
              </c:numCache>
            </c:numRef>
          </c:val>
          <c:extLst>
            <c:ext xmlns:c16="http://schemas.microsoft.com/office/drawing/2014/chart" uri="{C3380CC4-5D6E-409C-BE32-E72D297353CC}">
              <c16:uniqueId val="{00000007-050A-451A-A216-71AB12A0BA99}"/>
            </c:ext>
          </c:extLst>
        </c:ser>
        <c:ser>
          <c:idx val="1"/>
          <c:order val="1"/>
          <c:tx>
            <c:strRef>
              <c:f>Dashboard!$AF$19</c:f>
              <c:strCache>
                <c:ptCount val="1"/>
                <c:pt idx="0">
                  <c:v>Debt</c:v>
                </c:pt>
              </c:strCache>
            </c:strRef>
          </c:tx>
          <c:spPr>
            <a:solidFill>
              <a:schemeClr val="accent2"/>
            </a:solidFill>
            <a:ln>
              <a:noFill/>
            </a:ln>
            <a:effectLst/>
          </c:spPr>
          <c:invertIfNegative val="0"/>
          <c:val>
            <c:numRef>
              <c:f>Dashboard!$AI$19:$AO$19</c:f>
              <c:numCache>
                <c:formatCode>0.0%</c:formatCode>
                <c:ptCount val="7"/>
                <c:pt idx="1">
                  <c:v>0.32204724409448815</c:v>
                </c:pt>
                <c:pt idx="2">
                  <c:v>0.28074833665944099</c:v>
                </c:pt>
                <c:pt idx="3">
                  <c:v>0.29664871331876463</c:v>
                </c:pt>
                <c:pt idx="4">
                  <c:v>0.30244013241149559</c:v>
                </c:pt>
                <c:pt idx="5">
                  <c:v>0.24743669700929449</c:v>
                </c:pt>
                <c:pt idx="6">
                  <c:v>0.19840968303536055</c:v>
                </c:pt>
              </c:numCache>
            </c:numRef>
          </c:val>
          <c:extLst>
            <c:ext xmlns:c16="http://schemas.microsoft.com/office/drawing/2014/chart" uri="{C3380CC4-5D6E-409C-BE32-E72D297353CC}">
              <c16:uniqueId val="{00000008-050A-451A-A216-71AB12A0BA99}"/>
            </c:ext>
          </c:extLst>
        </c:ser>
        <c:dLbls>
          <c:showLegendKey val="0"/>
          <c:showVal val="0"/>
          <c:showCatName val="0"/>
          <c:showSerName val="0"/>
          <c:showPercent val="0"/>
          <c:showBubbleSize val="0"/>
        </c:dLbls>
        <c:gapWidth val="150"/>
        <c:overlap val="100"/>
        <c:axId val="559422479"/>
        <c:axId val="455299359"/>
      </c:bar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Liquide</a:t>
            </a:r>
            <a:r>
              <a:rPr lang="en-US" b="1" baseline="0"/>
              <a:t> middelen</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Dashboard!$AF$21</c:f>
              <c:strCache>
                <c:ptCount val="1"/>
                <c:pt idx="0">
                  <c:v>Kasstroom</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Dashboard!$AI$21:$AO$21</c:f>
              <c:numCache>
                <c:formatCode>"€"\ #,##0;\-"€"\ #,##0;\-</c:formatCode>
                <c:ptCount val="7"/>
                <c:pt idx="1">
                  <c:v>-25</c:v>
                </c:pt>
                <c:pt idx="2">
                  <c:v>56.348158711986315</c:v>
                </c:pt>
                <c:pt idx="3">
                  <c:v>174.24479056438361</c:v>
                </c:pt>
                <c:pt idx="4">
                  <c:v>-150.47607569709587</c:v>
                </c:pt>
                <c:pt idx="5">
                  <c:v>0.15311547473967835</c:v>
                </c:pt>
                <c:pt idx="6">
                  <c:v>8.2123789391802404</c:v>
                </c:pt>
              </c:numCache>
            </c:numRef>
          </c:val>
          <c:extLst>
            <c:ext xmlns:c16="http://schemas.microsoft.com/office/drawing/2014/chart" uri="{C3380CC4-5D6E-409C-BE32-E72D297353CC}">
              <c16:uniqueId val="{00000003-DD8D-4644-A9B3-D89AE7CAAFCE}"/>
            </c:ext>
          </c:extLst>
        </c:ser>
        <c:dLbls>
          <c:showLegendKey val="0"/>
          <c:showVal val="0"/>
          <c:showCatName val="0"/>
          <c:showSerName val="0"/>
          <c:showPercent val="0"/>
          <c:showBubbleSize val="0"/>
        </c:dLbls>
        <c:gapWidth val="150"/>
        <c:axId val="559422479"/>
        <c:axId val="455299359"/>
      </c:barChart>
      <c:lineChart>
        <c:grouping val="standard"/>
        <c:varyColors val="0"/>
        <c:ser>
          <c:idx val="1"/>
          <c:order val="1"/>
          <c:tx>
            <c:strRef>
              <c:f>Dashboard!$AF$22</c:f>
              <c:strCache>
                <c:ptCount val="1"/>
                <c:pt idx="0">
                  <c:v>Stand</c:v>
                </c:pt>
              </c:strCache>
            </c:strRef>
          </c:tx>
          <c:spPr>
            <a:ln w="28575" cap="rnd">
              <a:solidFill>
                <a:schemeClr val="accent2"/>
              </a:solidFill>
              <a:round/>
            </a:ln>
            <a:effectLst/>
          </c:spPr>
          <c:marker>
            <c:symbol val="none"/>
          </c:marker>
          <c:val>
            <c:numRef>
              <c:f>Dashboard!$AI$22:$AO$22</c:f>
              <c:numCache>
                <c:formatCode>"€"\ #,##0;\-"€"\ #,##0;\-</c:formatCode>
                <c:ptCount val="7"/>
                <c:pt idx="0">
                  <c:v>104</c:v>
                </c:pt>
                <c:pt idx="1">
                  <c:v>79</c:v>
                </c:pt>
                <c:pt idx="2">
                  <c:v>135.34815871198646</c:v>
                </c:pt>
                <c:pt idx="3">
                  <c:v>309.59294927637006</c:v>
                </c:pt>
                <c:pt idx="4">
                  <c:v>159.11687357927406</c:v>
                </c:pt>
                <c:pt idx="5">
                  <c:v>159.26998905401376</c:v>
                </c:pt>
                <c:pt idx="6">
                  <c:v>167.48236799319409</c:v>
                </c:pt>
              </c:numCache>
            </c:numRef>
          </c:val>
          <c:smooth val="0"/>
          <c:extLst>
            <c:ext xmlns:c16="http://schemas.microsoft.com/office/drawing/2014/chart" uri="{C3380CC4-5D6E-409C-BE32-E72D297353CC}">
              <c16:uniqueId val="{00000004-DD8D-4644-A9B3-D89AE7CAAFCE}"/>
            </c:ext>
          </c:extLst>
        </c:ser>
        <c:dLbls>
          <c:showLegendKey val="0"/>
          <c:showVal val="0"/>
          <c:showCatName val="0"/>
          <c:showSerName val="0"/>
          <c:showPercent val="0"/>
          <c:showBubbleSize val="0"/>
        </c:dLbls>
        <c:marker val="1"/>
        <c:smooth val="0"/>
        <c:axId val="559422479"/>
        <c:axId val="455299359"/>
      </c:lineChart>
      <c:catAx>
        <c:axId val="5594224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majorUnit val="1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Current</a:t>
            </a:r>
            <a:r>
              <a:rPr lang="en-US" b="1" baseline="0"/>
              <a:t> ratio</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Dashboard!$AF$23</c:f>
              <c:strCache>
                <c:ptCount val="1"/>
                <c:pt idx="0">
                  <c:v>Current ratio</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Dashboard!$AI$23:$AO$23</c:f>
              <c:numCache>
                <c:formatCode>0.0</c:formatCode>
                <c:ptCount val="7"/>
                <c:pt idx="0">
                  <c:v>2.3095238095238093</c:v>
                </c:pt>
                <c:pt idx="1">
                  <c:v>1.8571428571428572</c:v>
                </c:pt>
                <c:pt idx="2">
                  <c:v>2.6582897122280684</c:v>
                </c:pt>
                <c:pt idx="3">
                  <c:v>2.5156168670945731</c:v>
                </c:pt>
                <c:pt idx="4">
                  <c:v>1.8945013117486313</c:v>
                </c:pt>
                <c:pt idx="5">
                  <c:v>2.1198595358391361</c:v>
                </c:pt>
                <c:pt idx="6">
                  <c:v>2.4124371475800994</c:v>
                </c:pt>
              </c:numCache>
            </c:numRef>
          </c:val>
          <c:smooth val="0"/>
          <c:extLst>
            <c:ext xmlns:c16="http://schemas.microsoft.com/office/drawing/2014/chart" uri="{C3380CC4-5D6E-409C-BE32-E72D297353CC}">
              <c16:uniqueId val="{00000002-8B91-446B-A746-C5A02FBCD224}"/>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ICR</a:t>
            </a:r>
            <a:r>
              <a:rPr lang="en-US" b="1" baseline="0"/>
              <a:t> en DSCR</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Dashboard!$AF$24</c:f>
              <c:strCache>
                <c:ptCount val="1"/>
                <c:pt idx="0">
                  <c:v>ICR</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Dashboard!$AI$24:$AO$24</c:f>
              <c:numCache>
                <c:formatCode>0.0</c:formatCode>
                <c:ptCount val="7"/>
                <c:pt idx="0">
                  <c:v>4.5199999999999996</c:v>
                </c:pt>
                <c:pt idx="1">
                  <c:v>1.1666666666666667</c:v>
                </c:pt>
                <c:pt idx="2">
                  <c:v>24.283379174852659</c:v>
                </c:pt>
                <c:pt idx="3">
                  <c:v>11.701122222222228</c:v>
                </c:pt>
                <c:pt idx="4">
                  <c:v>11.675843133134332</c:v>
                </c:pt>
                <c:pt idx="5">
                  <c:v>24.083579702495037</c:v>
                </c:pt>
                <c:pt idx="6">
                  <c:v>39.07228946379589</c:v>
                </c:pt>
              </c:numCache>
            </c:numRef>
          </c:val>
          <c:smooth val="0"/>
          <c:extLst>
            <c:ext xmlns:c16="http://schemas.microsoft.com/office/drawing/2014/chart" uri="{C3380CC4-5D6E-409C-BE32-E72D297353CC}">
              <c16:uniqueId val="{00000001-FAB8-4911-A812-47427CC89253}"/>
            </c:ext>
          </c:extLst>
        </c:ser>
        <c:ser>
          <c:idx val="1"/>
          <c:order val="1"/>
          <c:tx>
            <c:strRef>
              <c:f>Dashboard!$AF$25</c:f>
              <c:strCache>
                <c:ptCount val="1"/>
                <c:pt idx="0">
                  <c:v>DSCR</c:v>
                </c:pt>
              </c:strCache>
            </c:strRef>
          </c:tx>
          <c:spPr>
            <a:ln w="28575" cap="rnd">
              <a:solidFill>
                <a:schemeClr val="accent2"/>
              </a:solidFill>
              <a:round/>
            </a:ln>
            <a:effectLst/>
          </c:spPr>
          <c:marker>
            <c:symbol val="none"/>
          </c:marker>
          <c:val>
            <c:numRef>
              <c:f>Dashboard!$AI$25:$AO$25</c:f>
              <c:numCache>
                <c:formatCode>0.0</c:formatCode>
                <c:ptCount val="7"/>
                <c:pt idx="1">
                  <c:v>0.875</c:v>
                </c:pt>
                <c:pt idx="2">
                  <c:v>8.1910139165009976</c:v>
                </c:pt>
                <c:pt idx="3">
                  <c:v>3.097355882352943</c:v>
                </c:pt>
                <c:pt idx="4">
                  <c:v>2.0213991987596907</c:v>
                </c:pt>
                <c:pt idx="5">
                  <c:v>3.4699594150527804</c:v>
                </c:pt>
                <c:pt idx="6">
                  <c:v>2.8732951719178215</c:v>
                </c:pt>
              </c:numCache>
            </c:numRef>
          </c:val>
          <c:smooth val="0"/>
          <c:extLst>
            <c:ext xmlns:c16="http://schemas.microsoft.com/office/drawing/2014/chart" uri="{C3380CC4-5D6E-409C-BE32-E72D297353CC}">
              <c16:uniqueId val="{00000002-FAB8-4911-A812-47427CC89253}"/>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Rentabiliteit</a:t>
            </a:r>
            <a:r>
              <a:rPr lang="en-US" b="1" baseline="0"/>
              <a:t> EV</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Dashboard!$AF$16</c:f>
              <c:strCache>
                <c:ptCount val="1"/>
                <c:pt idx="0">
                  <c:v>Rentabiliteit EV</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Dashboard!$AI$16:$AO$16</c:f>
              <c:numCache>
                <c:formatCode>0.0%</c:formatCode>
                <c:ptCount val="7"/>
                <c:pt idx="1">
                  <c:v>1.3937282229965157E-2</c:v>
                </c:pt>
                <c:pt idx="2">
                  <c:v>0.17452652215740666</c:v>
                </c:pt>
                <c:pt idx="3">
                  <c:v>0.15063179085381356</c:v>
                </c:pt>
                <c:pt idx="4">
                  <c:v>7.2056380533772585E-2</c:v>
                </c:pt>
                <c:pt idx="5">
                  <c:v>0.10417573768008712</c:v>
                </c:pt>
                <c:pt idx="6">
                  <c:v>0.10175980922582079</c:v>
                </c:pt>
              </c:numCache>
            </c:numRef>
          </c:val>
          <c:smooth val="0"/>
          <c:extLst>
            <c:ext xmlns:c16="http://schemas.microsoft.com/office/drawing/2014/chart" uri="{C3380CC4-5D6E-409C-BE32-E72D297353CC}">
              <c16:uniqueId val="{00000002-0869-4CBB-AF00-CCCA6DC92D82}"/>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Resultaat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Dashboard!$AF$14</c:f>
              <c:strCache>
                <c:ptCount val="1"/>
                <c:pt idx="0">
                  <c:v>Resultaat</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Dashboard!$AI$14:$AO$14</c:f>
              <c:numCache>
                <c:formatCode>"€"\ #,##0;\-"€"\ #,##0;\-</c:formatCode>
                <c:ptCount val="7"/>
                <c:pt idx="0">
                  <c:v>55</c:v>
                </c:pt>
                <c:pt idx="1">
                  <c:v>6</c:v>
                </c:pt>
                <c:pt idx="2">
                  <c:v>81.456454275000027</c:v>
                </c:pt>
                <c:pt idx="3">
                  <c:v>81.036060000000035</c:v>
                </c:pt>
                <c:pt idx="4">
                  <c:v>42.307639680000023</c:v>
                </c:pt>
                <c:pt idx="5">
                  <c:v>64.929058123199965</c:v>
                </c:pt>
                <c:pt idx="6">
                  <c:v>68.159639285663957</c:v>
                </c:pt>
              </c:numCache>
            </c:numRef>
          </c:val>
          <c:extLst>
            <c:ext xmlns:c16="http://schemas.microsoft.com/office/drawing/2014/chart" uri="{C3380CC4-5D6E-409C-BE32-E72D297353CC}">
              <c16:uniqueId val="{00000000-A0DA-4C7B-87BD-6109FC2EB065}"/>
            </c:ext>
          </c:extLst>
        </c:ser>
        <c:dLbls>
          <c:showLegendKey val="0"/>
          <c:showVal val="0"/>
          <c:showCatName val="0"/>
          <c:showSerName val="0"/>
          <c:showPercent val="0"/>
          <c:showBubbleSize val="0"/>
        </c:dLbls>
        <c:gapWidth val="219"/>
        <c:overlap val="-27"/>
        <c:axId val="559422479"/>
        <c:axId val="455299359"/>
      </c:barChart>
      <c:lineChart>
        <c:grouping val="standard"/>
        <c:varyColors val="0"/>
        <c:ser>
          <c:idx val="1"/>
          <c:order val="1"/>
          <c:tx>
            <c:strRef>
              <c:f>Dashboard!$AF$15</c:f>
              <c:strCache>
                <c:ptCount val="1"/>
                <c:pt idx="0">
                  <c:v>Resultaat %</c:v>
                </c:pt>
              </c:strCache>
            </c:strRef>
          </c:tx>
          <c:spPr>
            <a:ln w="28575" cap="rnd">
              <a:solidFill>
                <a:schemeClr val="accent2"/>
              </a:solidFill>
              <a:round/>
            </a:ln>
            <a:effectLst/>
          </c:spPr>
          <c:marker>
            <c:symbol val="none"/>
          </c:marker>
          <c:val>
            <c:numRef>
              <c:f>Dashboard!$AI$15:$AO$15</c:f>
              <c:numCache>
                <c:formatCode>0.0%</c:formatCode>
                <c:ptCount val="7"/>
                <c:pt idx="0">
                  <c:v>0.10516252390057361</c:v>
                </c:pt>
                <c:pt idx="1">
                  <c:v>1.2526096033402923E-2</c:v>
                </c:pt>
                <c:pt idx="2">
                  <c:v>0.1570759656658568</c:v>
                </c:pt>
                <c:pt idx="3">
                  <c:v>0.15065634627955179</c:v>
                </c:pt>
                <c:pt idx="4">
                  <c:v>7.1833214040419452E-2</c:v>
                </c:pt>
                <c:pt idx="5">
                  <c:v>0.10115415406969305</c:v>
                </c:pt>
                <c:pt idx="6">
                  <c:v>0.10410503421234295</c:v>
                </c:pt>
              </c:numCache>
            </c:numRef>
          </c:val>
          <c:smooth val="0"/>
          <c:extLst>
            <c:ext xmlns:c16="http://schemas.microsoft.com/office/drawing/2014/chart" uri="{C3380CC4-5D6E-409C-BE32-E72D297353CC}">
              <c16:uniqueId val="{00000001-A0DA-4C7B-87BD-6109FC2EB065}"/>
            </c:ext>
          </c:extLst>
        </c:ser>
        <c:dLbls>
          <c:showLegendKey val="0"/>
          <c:showVal val="0"/>
          <c:showCatName val="0"/>
          <c:showSerName val="0"/>
          <c:showPercent val="0"/>
          <c:showBubbleSize val="0"/>
        </c:dLbls>
        <c:marker val="1"/>
        <c:smooth val="0"/>
        <c:axId val="650054239"/>
        <c:axId val="655594591"/>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valAx>
        <c:axId val="655594591"/>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50054239"/>
        <c:crosses val="max"/>
        <c:crossBetween val="between"/>
      </c:valAx>
      <c:catAx>
        <c:axId val="650054239"/>
        <c:scaling>
          <c:orientation val="minMax"/>
        </c:scaling>
        <c:delete val="1"/>
        <c:axPos val="b"/>
        <c:majorTickMark val="out"/>
        <c:minorTickMark val="none"/>
        <c:tickLblPos val="nextTo"/>
        <c:crossAx val="655594591"/>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0</xdr:rowOff>
    </xdr:from>
    <xdr:to>
      <xdr:col>7</xdr:col>
      <xdr:colOff>584200</xdr:colOff>
      <xdr:row>12</xdr:row>
      <xdr:rowOff>76200</xdr:rowOff>
    </xdr:to>
    <xdr:graphicFrame macro="">
      <xdr:nvGraphicFramePr>
        <xdr:cNvPr id="2" name="Chart 1">
          <a:extLst>
            <a:ext uri="{FF2B5EF4-FFF2-40B4-BE49-F238E27FC236}">
              <a16:creationId xmlns:a16="http://schemas.microsoft.com/office/drawing/2014/main" id="{F22B473E-4B63-47EB-BB89-C407721097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42335</xdr:colOff>
      <xdr:row>3</xdr:row>
      <xdr:rowOff>0</xdr:rowOff>
    </xdr:from>
    <xdr:to>
      <xdr:col>14</xdr:col>
      <xdr:colOff>48261</xdr:colOff>
      <xdr:row>12</xdr:row>
      <xdr:rowOff>76200</xdr:rowOff>
    </xdr:to>
    <xdr:graphicFrame macro="">
      <xdr:nvGraphicFramePr>
        <xdr:cNvPr id="4" name="Chart 3">
          <a:extLst>
            <a:ext uri="{FF2B5EF4-FFF2-40B4-BE49-F238E27FC236}">
              <a16:creationId xmlns:a16="http://schemas.microsoft.com/office/drawing/2014/main" id="{B2B63CF5-CC57-4CFF-8AD2-17A2526F2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3</xdr:row>
      <xdr:rowOff>0</xdr:rowOff>
    </xdr:from>
    <xdr:to>
      <xdr:col>19</xdr:col>
      <xdr:colOff>584200</xdr:colOff>
      <xdr:row>12</xdr:row>
      <xdr:rowOff>76200</xdr:rowOff>
    </xdr:to>
    <xdr:graphicFrame macro="">
      <xdr:nvGraphicFramePr>
        <xdr:cNvPr id="7" name="Chart 6">
          <a:extLst>
            <a:ext uri="{FF2B5EF4-FFF2-40B4-BE49-F238E27FC236}">
              <a16:creationId xmlns:a16="http://schemas.microsoft.com/office/drawing/2014/main" id="{FDD49A58-E2E5-4A79-AA26-B29D7B116E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160866</xdr:colOff>
      <xdr:row>12</xdr:row>
      <xdr:rowOff>177800</xdr:rowOff>
    </xdr:from>
    <xdr:to>
      <xdr:col>9</xdr:col>
      <xdr:colOff>0</xdr:colOff>
      <xdr:row>22</xdr:row>
      <xdr:rowOff>93135</xdr:rowOff>
    </xdr:to>
    <xdr:graphicFrame macro="">
      <xdr:nvGraphicFramePr>
        <xdr:cNvPr id="8" name="Chart 7">
          <a:extLst>
            <a:ext uri="{FF2B5EF4-FFF2-40B4-BE49-F238E27FC236}">
              <a16:creationId xmlns:a16="http://schemas.microsoft.com/office/drawing/2014/main" id="{B5F24BA4-D0D2-40C1-AD5E-85A662C033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482592</xdr:colOff>
      <xdr:row>15</xdr:row>
      <xdr:rowOff>59269</xdr:rowOff>
    </xdr:from>
    <xdr:to>
      <xdr:col>5</xdr:col>
      <xdr:colOff>245525</xdr:colOff>
      <xdr:row>16</xdr:row>
      <xdr:rowOff>59269</xdr:rowOff>
    </xdr:to>
    <xdr:sp macro="" textlink="">
      <xdr:nvSpPr>
        <xdr:cNvPr id="9" name="TextBox 8">
          <a:extLst>
            <a:ext uri="{FF2B5EF4-FFF2-40B4-BE49-F238E27FC236}">
              <a16:creationId xmlns:a16="http://schemas.microsoft.com/office/drawing/2014/main" id="{DCD52691-0B70-4199-A38C-161EC8EF200D}"/>
            </a:ext>
          </a:extLst>
        </xdr:cNvPr>
        <xdr:cNvSpPr txBox="1"/>
      </xdr:nvSpPr>
      <xdr:spPr>
        <a:xfrm>
          <a:off x="872059" y="2675469"/>
          <a:ext cx="982133" cy="1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baseline="0">
              <a:solidFill>
                <a:schemeClr val="accent2"/>
              </a:solidFill>
            </a:rPr>
            <a:t>Brutomarge %</a:t>
          </a:r>
          <a:endParaRPr lang="nl-NL" sz="800">
            <a:solidFill>
              <a:schemeClr val="accent2"/>
            </a:solidFill>
          </a:endParaRPr>
        </a:p>
      </xdr:txBody>
    </xdr:sp>
    <xdr:clientData/>
  </xdr:twoCellAnchor>
  <xdr:twoCellAnchor>
    <xdr:from>
      <xdr:col>15</xdr:col>
      <xdr:colOff>0</xdr:colOff>
      <xdr:row>23</xdr:row>
      <xdr:rowOff>0</xdr:rowOff>
    </xdr:from>
    <xdr:to>
      <xdr:col>20</xdr:col>
      <xdr:colOff>5926</xdr:colOff>
      <xdr:row>32</xdr:row>
      <xdr:rowOff>76200</xdr:rowOff>
    </xdr:to>
    <xdr:graphicFrame macro="">
      <xdr:nvGraphicFramePr>
        <xdr:cNvPr id="10" name="Chart 9">
          <a:extLst>
            <a:ext uri="{FF2B5EF4-FFF2-40B4-BE49-F238E27FC236}">
              <a16:creationId xmlns:a16="http://schemas.microsoft.com/office/drawing/2014/main" id="{F963788A-3BC0-4213-A3F3-7959633F49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23</xdr:row>
      <xdr:rowOff>0</xdr:rowOff>
    </xdr:from>
    <xdr:to>
      <xdr:col>7</xdr:col>
      <xdr:colOff>584200</xdr:colOff>
      <xdr:row>32</xdr:row>
      <xdr:rowOff>76200</xdr:rowOff>
    </xdr:to>
    <xdr:graphicFrame macro="">
      <xdr:nvGraphicFramePr>
        <xdr:cNvPr id="12" name="Chart 11">
          <a:extLst>
            <a:ext uri="{FF2B5EF4-FFF2-40B4-BE49-F238E27FC236}">
              <a16:creationId xmlns:a16="http://schemas.microsoft.com/office/drawing/2014/main" id="{67AE4002-5EF7-4A18-AC9F-9AB73C20A8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42335</xdr:colOff>
      <xdr:row>23</xdr:row>
      <xdr:rowOff>0</xdr:rowOff>
    </xdr:from>
    <xdr:to>
      <xdr:col>14</xdr:col>
      <xdr:colOff>48261</xdr:colOff>
      <xdr:row>32</xdr:row>
      <xdr:rowOff>76200</xdr:rowOff>
    </xdr:to>
    <xdr:graphicFrame macro="">
      <xdr:nvGraphicFramePr>
        <xdr:cNvPr id="13" name="Chart 12">
          <a:extLst>
            <a:ext uri="{FF2B5EF4-FFF2-40B4-BE49-F238E27FC236}">
              <a16:creationId xmlns:a16="http://schemas.microsoft.com/office/drawing/2014/main" id="{19071401-9725-40D6-A478-045BCB6BF5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32</xdr:col>
      <xdr:colOff>67734</xdr:colOff>
      <xdr:row>27</xdr:row>
      <xdr:rowOff>177800</xdr:rowOff>
    </xdr:from>
    <xdr:to>
      <xdr:col>37</xdr:col>
      <xdr:colOff>488526</xdr:colOff>
      <xdr:row>37</xdr:row>
      <xdr:rowOff>67733</xdr:rowOff>
    </xdr:to>
    <xdr:graphicFrame macro="">
      <xdr:nvGraphicFramePr>
        <xdr:cNvPr id="14" name="Chart 13">
          <a:extLst>
            <a:ext uri="{FF2B5EF4-FFF2-40B4-BE49-F238E27FC236}">
              <a16:creationId xmlns:a16="http://schemas.microsoft.com/office/drawing/2014/main" id="{91FD7627-7392-49DA-B698-2EF0015A6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36</xdr:col>
      <xdr:colOff>169333</xdr:colOff>
      <xdr:row>31</xdr:row>
      <xdr:rowOff>101599</xdr:rowOff>
    </xdr:from>
    <xdr:to>
      <xdr:col>36</xdr:col>
      <xdr:colOff>558800</xdr:colOff>
      <xdr:row>32</xdr:row>
      <xdr:rowOff>84669</xdr:rowOff>
    </xdr:to>
    <xdr:sp macro="" textlink="">
      <xdr:nvSpPr>
        <xdr:cNvPr id="15" name="TextBox 14">
          <a:extLst>
            <a:ext uri="{FF2B5EF4-FFF2-40B4-BE49-F238E27FC236}">
              <a16:creationId xmlns:a16="http://schemas.microsoft.com/office/drawing/2014/main" id="{3234FB1B-02BE-4476-B1B1-912407262F91}"/>
            </a:ext>
          </a:extLst>
        </xdr:cNvPr>
        <xdr:cNvSpPr txBox="1"/>
      </xdr:nvSpPr>
      <xdr:spPr>
        <a:xfrm>
          <a:off x="2387600" y="12403666"/>
          <a:ext cx="389467" cy="169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1">
                  <a:lumMod val="75000"/>
                </a:schemeClr>
              </a:solidFill>
            </a:rPr>
            <a:t>ICR</a:t>
          </a:r>
        </a:p>
      </xdr:txBody>
    </xdr:sp>
    <xdr:clientData/>
  </xdr:twoCellAnchor>
  <xdr:twoCellAnchor>
    <xdr:from>
      <xdr:col>36</xdr:col>
      <xdr:colOff>330199</xdr:colOff>
      <xdr:row>33</xdr:row>
      <xdr:rowOff>93133</xdr:rowOff>
    </xdr:from>
    <xdr:to>
      <xdr:col>37</xdr:col>
      <xdr:colOff>143933</xdr:colOff>
      <xdr:row>34</xdr:row>
      <xdr:rowOff>84667</xdr:rowOff>
    </xdr:to>
    <xdr:sp macro="" textlink="">
      <xdr:nvSpPr>
        <xdr:cNvPr id="16" name="TextBox 15">
          <a:extLst>
            <a:ext uri="{FF2B5EF4-FFF2-40B4-BE49-F238E27FC236}">
              <a16:creationId xmlns:a16="http://schemas.microsoft.com/office/drawing/2014/main" id="{444CD3D8-867A-4F5B-8E64-D84F49C44F5E}"/>
            </a:ext>
          </a:extLst>
        </xdr:cNvPr>
        <xdr:cNvSpPr txBox="1"/>
      </xdr:nvSpPr>
      <xdr:spPr>
        <a:xfrm>
          <a:off x="2548466" y="12767733"/>
          <a:ext cx="423334" cy="177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2"/>
              </a:solidFill>
            </a:rPr>
            <a:t>DSCR</a:t>
          </a:r>
        </a:p>
      </xdr:txBody>
    </xdr:sp>
    <xdr:clientData/>
  </xdr:twoCellAnchor>
  <xdr:twoCellAnchor>
    <xdr:from>
      <xdr:col>6</xdr:col>
      <xdr:colOff>431802</xdr:colOff>
      <xdr:row>25</xdr:row>
      <xdr:rowOff>33864</xdr:rowOff>
    </xdr:from>
    <xdr:to>
      <xdr:col>7</xdr:col>
      <xdr:colOff>245536</xdr:colOff>
      <xdr:row>26</xdr:row>
      <xdr:rowOff>25399</xdr:rowOff>
    </xdr:to>
    <xdr:sp macro="" textlink="">
      <xdr:nvSpPr>
        <xdr:cNvPr id="17" name="TextBox 16">
          <a:extLst>
            <a:ext uri="{FF2B5EF4-FFF2-40B4-BE49-F238E27FC236}">
              <a16:creationId xmlns:a16="http://schemas.microsoft.com/office/drawing/2014/main" id="{B2685FFE-4161-4320-BC68-9683B7ACF91E}"/>
            </a:ext>
          </a:extLst>
        </xdr:cNvPr>
        <xdr:cNvSpPr txBox="1"/>
      </xdr:nvSpPr>
      <xdr:spPr>
        <a:xfrm>
          <a:off x="2650069" y="4512731"/>
          <a:ext cx="423334" cy="177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2"/>
              </a:solidFill>
            </a:rPr>
            <a:t>Stand</a:t>
          </a:r>
        </a:p>
      </xdr:txBody>
    </xdr:sp>
    <xdr:clientData/>
  </xdr:twoCellAnchor>
  <xdr:twoCellAnchor>
    <xdr:from>
      <xdr:col>6</xdr:col>
      <xdr:colOff>431802</xdr:colOff>
      <xdr:row>25</xdr:row>
      <xdr:rowOff>152408</xdr:rowOff>
    </xdr:from>
    <xdr:to>
      <xdr:col>7</xdr:col>
      <xdr:colOff>533403</xdr:colOff>
      <xdr:row>27</xdr:row>
      <xdr:rowOff>9</xdr:rowOff>
    </xdr:to>
    <xdr:sp macro="" textlink="">
      <xdr:nvSpPr>
        <xdr:cNvPr id="18" name="TextBox 17">
          <a:extLst>
            <a:ext uri="{FF2B5EF4-FFF2-40B4-BE49-F238E27FC236}">
              <a16:creationId xmlns:a16="http://schemas.microsoft.com/office/drawing/2014/main" id="{861AEF37-A5B4-4420-B923-76714573E327}"/>
            </a:ext>
          </a:extLst>
        </xdr:cNvPr>
        <xdr:cNvSpPr txBox="1"/>
      </xdr:nvSpPr>
      <xdr:spPr>
        <a:xfrm>
          <a:off x="2650069" y="4631275"/>
          <a:ext cx="711201" cy="220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1">
                  <a:lumMod val="75000"/>
                </a:schemeClr>
              </a:solidFill>
            </a:rPr>
            <a:t>Kasstroom</a:t>
          </a:r>
        </a:p>
      </xdr:txBody>
    </xdr:sp>
    <xdr:clientData/>
  </xdr:twoCellAnchor>
  <xdr:twoCellAnchor>
    <xdr:from>
      <xdr:col>15</xdr:col>
      <xdr:colOff>0</xdr:colOff>
      <xdr:row>13</xdr:row>
      <xdr:rowOff>0</xdr:rowOff>
    </xdr:from>
    <xdr:to>
      <xdr:col>20</xdr:col>
      <xdr:colOff>5926</xdr:colOff>
      <xdr:row>22</xdr:row>
      <xdr:rowOff>76200</xdr:rowOff>
    </xdr:to>
    <xdr:graphicFrame macro="">
      <xdr:nvGraphicFramePr>
        <xdr:cNvPr id="19" name="Chart 18">
          <a:extLst>
            <a:ext uri="{FF2B5EF4-FFF2-40B4-BE49-F238E27FC236}">
              <a16:creationId xmlns:a16="http://schemas.microsoft.com/office/drawing/2014/main" id="{787AA178-210E-4B97-A8FD-34290610EB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15</xdr:col>
      <xdr:colOff>440267</xdr:colOff>
      <xdr:row>5</xdr:row>
      <xdr:rowOff>101600</xdr:rowOff>
    </xdr:from>
    <xdr:to>
      <xdr:col>16</xdr:col>
      <xdr:colOff>601134</xdr:colOff>
      <xdr:row>7</xdr:row>
      <xdr:rowOff>101601</xdr:rowOff>
    </xdr:to>
    <xdr:sp macro="" textlink="">
      <xdr:nvSpPr>
        <xdr:cNvPr id="20" name="TextBox 19">
          <a:extLst>
            <a:ext uri="{FF2B5EF4-FFF2-40B4-BE49-F238E27FC236}">
              <a16:creationId xmlns:a16="http://schemas.microsoft.com/office/drawing/2014/main" id="{C5F2D860-2894-4061-89A7-F482C9977E49}"/>
            </a:ext>
          </a:extLst>
        </xdr:cNvPr>
        <xdr:cNvSpPr txBox="1"/>
      </xdr:nvSpPr>
      <xdr:spPr>
        <a:xfrm>
          <a:off x="7171267" y="855133"/>
          <a:ext cx="770467" cy="37253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700">
              <a:solidFill>
                <a:schemeClr val="accent2"/>
              </a:solidFill>
            </a:rPr>
            <a:t>Overige</a:t>
          </a:r>
        </a:p>
        <a:p>
          <a:r>
            <a:rPr lang="nl-NL" sz="700" baseline="0">
              <a:solidFill>
                <a:schemeClr val="accent1">
                  <a:lumMod val="75000"/>
                </a:schemeClr>
              </a:solidFill>
            </a:rPr>
            <a:t>Productgroep</a:t>
          </a:r>
        </a:p>
        <a:p>
          <a:endParaRPr lang="nl-NL" sz="700">
            <a:solidFill>
              <a:schemeClr val="accent1">
                <a:lumMod val="75000"/>
              </a:schemeClr>
            </a:solidFill>
          </a:endParaRPr>
        </a:p>
      </xdr:txBody>
    </xdr:sp>
    <xdr:clientData/>
  </xdr:twoCellAnchor>
  <xdr:twoCellAnchor>
    <xdr:from>
      <xdr:col>9</xdr:col>
      <xdr:colOff>42335</xdr:colOff>
      <xdr:row>13</xdr:row>
      <xdr:rowOff>0</xdr:rowOff>
    </xdr:from>
    <xdr:to>
      <xdr:col>14</xdr:col>
      <xdr:colOff>8469</xdr:colOff>
      <xdr:row>22</xdr:row>
      <xdr:rowOff>101602</xdr:rowOff>
    </xdr:to>
    <xdr:graphicFrame macro="">
      <xdr:nvGraphicFramePr>
        <xdr:cNvPr id="21" name="Chart 20">
          <a:extLst>
            <a:ext uri="{FF2B5EF4-FFF2-40B4-BE49-F238E27FC236}">
              <a16:creationId xmlns:a16="http://schemas.microsoft.com/office/drawing/2014/main" id="{F870BB70-D2EF-4CB1-ACAB-6FA239CED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508000</xdr:colOff>
      <xdr:row>16</xdr:row>
      <xdr:rowOff>16937</xdr:rowOff>
    </xdr:from>
    <xdr:to>
      <xdr:col>11</xdr:col>
      <xdr:colOff>135466</xdr:colOff>
      <xdr:row>17</xdr:row>
      <xdr:rowOff>8472</xdr:rowOff>
    </xdr:to>
    <xdr:sp macro="" textlink="">
      <xdr:nvSpPr>
        <xdr:cNvPr id="23" name="TextBox 22">
          <a:extLst>
            <a:ext uri="{FF2B5EF4-FFF2-40B4-BE49-F238E27FC236}">
              <a16:creationId xmlns:a16="http://schemas.microsoft.com/office/drawing/2014/main" id="{4026F7A0-6CEF-4689-9685-B691BF97E23A}"/>
            </a:ext>
          </a:extLst>
        </xdr:cNvPr>
        <xdr:cNvSpPr txBox="1"/>
      </xdr:nvSpPr>
      <xdr:spPr>
        <a:xfrm>
          <a:off x="4072467" y="2819404"/>
          <a:ext cx="846666" cy="177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2"/>
              </a:solidFill>
            </a:rPr>
            <a:t>Resultaat</a:t>
          </a:r>
          <a:r>
            <a:rPr lang="nl-NL" sz="800" baseline="0">
              <a:solidFill>
                <a:schemeClr val="accent2"/>
              </a:solidFill>
            </a:rPr>
            <a:t> %</a:t>
          </a:r>
          <a:endParaRPr lang="nl-NL" sz="800">
            <a:solidFill>
              <a:schemeClr val="accent2"/>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knowyourfinance.nl/" TargetMode="External"/><Relationship Id="rId1" Type="http://schemas.openxmlformats.org/officeDocument/2006/relationships/hyperlink" Target="mailto:info@knowyourfinance.n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6C3CA-D93E-416D-9D2D-2F8FFA230A83}">
  <dimension ref="B2:F11"/>
  <sheetViews>
    <sheetView showGridLines="0" zoomScale="90" zoomScaleNormal="90" workbookViewId="0"/>
  </sheetViews>
  <sheetFormatPr defaultColWidth="9.109375" defaultRowHeight="14.4" x14ac:dyDescent="0.3"/>
  <cols>
    <col min="1" max="1" width="2.21875" style="7" customWidth="1"/>
    <col min="2" max="2" width="106.88671875" style="7" customWidth="1"/>
    <col min="3" max="3" width="9.109375" style="7"/>
    <col min="4" max="4" width="91.5546875" style="7" customWidth="1"/>
    <col min="5" max="16384" width="9.109375" style="7"/>
  </cols>
  <sheetData>
    <row r="2" spans="2:6" x14ac:dyDescent="0.3">
      <c r="B2" s="124" t="s">
        <v>147</v>
      </c>
      <c r="C2" s="6"/>
      <c r="D2" s="6"/>
      <c r="E2" s="6"/>
      <c r="F2" s="6"/>
    </row>
    <row r="4" spans="2:6" s="28" customFormat="1" ht="94.2" customHeight="1" x14ac:dyDescent="0.3">
      <c r="B4" s="28" t="s">
        <v>341</v>
      </c>
    </row>
    <row r="5" spans="2:6" x14ac:dyDescent="0.3">
      <c r="B5" s="7" t="s">
        <v>339</v>
      </c>
    </row>
    <row r="6" spans="2:6" ht="55.2" customHeight="1" x14ac:dyDescent="0.3">
      <c r="B6" s="7" t="s">
        <v>340</v>
      </c>
    </row>
    <row r="7" spans="2:6" ht="78" customHeight="1" x14ac:dyDescent="0.3">
      <c r="B7" s="7" t="s">
        <v>334</v>
      </c>
    </row>
    <row r="8" spans="2:6" ht="33.6" customHeight="1" x14ac:dyDescent="0.3">
      <c r="B8" s="7" t="s">
        <v>335</v>
      </c>
    </row>
    <row r="9" spans="2:6" ht="62.4" customHeight="1" x14ac:dyDescent="0.3">
      <c r="B9" s="7" t="s">
        <v>342</v>
      </c>
    </row>
    <row r="10" spans="2:6" ht="51.6" customHeight="1" x14ac:dyDescent="0.3"/>
    <row r="11" spans="2:6" ht="62.4" customHeight="1" x14ac:dyDescent="0.3"/>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63"/>
  <sheetViews>
    <sheetView showGridLines="0" zoomScale="90" zoomScaleNormal="90" workbookViewId="0"/>
  </sheetViews>
  <sheetFormatPr defaultColWidth="9.109375" defaultRowHeight="14.4" outlineLevelRow="1" x14ac:dyDescent="0.3"/>
  <cols>
    <col min="1" max="1" width="2.21875" style="7" customWidth="1"/>
    <col min="2" max="2" width="106.88671875" style="7" customWidth="1"/>
    <col min="3" max="16384" width="9.109375" style="7"/>
  </cols>
  <sheetData>
    <row r="1" spans="2:6" ht="8.4" customHeight="1" x14ac:dyDescent="0.3"/>
    <row r="2" spans="2:6" ht="15.6" x14ac:dyDescent="0.3">
      <c r="B2" s="12" t="s">
        <v>146</v>
      </c>
    </row>
    <row r="4" spans="2:6" x14ac:dyDescent="0.3">
      <c r="B4" s="124" t="s">
        <v>325</v>
      </c>
      <c r="C4" s="6"/>
      <c r="D4" s="6"/>
      <c r="E4" s="6"/>
      <c r="F4" s="6"/>
    </row>
    <row r="5" spans="2:6" s="28" customFormat="1" outlineLevel="1" x14ac:dyDescent="0.3"/>
    <row r="6" spans="2:6" ht="36.6" customHeight="1" outlineLevel="1" x14ac:dyDescent="0.3">
      <c r="B6" s="7" t="s">
        <v>336</v>
      </c>
      <c r="D6" s="120"/>
    </row>
    <row r="7" spans="2:6" ht="49.2" customHeight="1" outlineLevel="1" x14ac:dyDescent="0.3">
      <c r="B7" s="7" t="s">
        <v>326</v>
      </c>
    </row>
    <row r="8" spans="2:6" outlineLevel="1" x14ac:dyDescent="0.3">
      <c r="B8" s="121" t="s">
        <v>327</v>
      </c>
      <c r="D8" s="122"/>
    </row>
    <row r="9" spans="2:6" outlineLevel="1" x14ac:dyDescent="0.3">
      <c r="B9" s="121" t="s">
        <v>328</v>
      </c>
      <c r="D9" s="122"/>
    </row>
    <row r="10" spans="2:6" ht="16.8" x14ac:dyDescent="0.3">
      <c r="B10" s="122"/>
      <c r="D10" s="120"/>
    </row>
    <row r="11" spans="2:6" x14ac:dyDescent="0.3">
      <c r="B11" s="124" t="s">
        <v>329</v>
      </c>
      <c r="C11" s="6"/>
      <c r="D11" s="6"/>
      <c r="E11" s="6"/>
      <c r="F11" s="6"/>
    </row>
    <row r="12" spans="2:6" s="28" customFormat="1" outlineLevel="1" x14ac:dyDescent="0.3"/>
    <row r="13" spans="2:6" s="28" customFormat="1" outlineLevel="1" x14ac:dyDescent="0.3">
      <c r="B13" s="28" t="s">
        <v>392</v>
      </c>
    </row>
    <row r="14" spans="2:6" s="28" customFormat="1" ht="31.2" customHeight="1" outlineLevel="1" x14ac:dyDescent="0.3">
      <c r="B14" s="28" t="s">
        <v>393</v>
      </c>
    </row>
    <row r="15" spans="2:6" s="28" customFormat="1" ht="43.2" outlineLevel="1" x14ac:dyDescent="0.3">
      <c r="B15" s="28" t="s">
        <v>394</v>
      </c>
    </row>
    <row r="16" spans="2:6" s="28" customFormat="1" ht="6" customHeight="1" outlineLevel="1" x14ac:dyDescent="0.3"/>
    <row r="17" spans="2:6" s="28" customFormat="1" ht="28.8" outlineLevel="1" x14ac:dyDescent="0.3">
      <c r="B17" s="28" t="s">
        <v>395</v>
      </c>
    </row>
    <row r="18" spans="2:6" outlineLevel="1" x14ac:dyDescent="0.3">
      <c r="B18" s="7" t="s">
        <v>214</v>
      </c>
    </row>
    <row r="19" spans="2:6" outlineLevel="1" x14ac:dyDescent="0.3">
      <c r="B19" s="7" t="s">
        <v>337</v>
      </c>
    </row>
    <row r="20" spans="2:6" ht="50.4" customHeight="1" outlineLevel="1" x14ac:dyDescent="0.3">
      <c r="B20" s="7" t="s">
        <v>300</v>
      </c>
    </row>
    <row r="22" spans="2:6" x14ac:dyDescent="0.3">
      <c r="B22" s="124" t="s">
        <v>140</v>
      </c>
      <c r="C22" s="6"/>
      <c r="D22" s="6"/>
      <c r="E22" s="6"/>
      <c r="F22" s="6"/>
    </row>
    <row r="23" spans="2:6" outlineLevel="1" x14ac:dyDescent="0.3">
      <c r="B23" s="28"/>
      <c r="C23" s="77"/>
      <c r="D23" s="77"/>
      <c r="E23" s="77"/>
      <c r="F23" s="77"/>
    </row>
    <row r="24" spans="2:6" outlineLevel="1" x14ac:dyDescent="0.3">
      <c r="B24" s="78" t="s">
        <v>229</v>
      </c>
      <c r="C24" s="77"/>
      <c r="D24" s="77"/>
      <c r="E24" s="77"/>
      <c r="F24" s="77"/>
    </row>
    <row r="25" spans="2:6" outlineLevel="1" x14ac:dyDescent="0.3">
      <c r="B25" s="7" t="s">
        <v>141</v>
      </c>
    </row>
    <row r="26" spans="2:6" outlineLevel="1" x14ac:dyDescent="0.3">
      <c r="B26" s="8" t="s">
        <v>142</v>
      </c>
    </row>
    <row r="27" spans="2:6" outlineLevel="1" x14ac:dyDescent="0.3">
      <c r="B27" s="7" t="s">
        <v>143</v>
      </c>
    </row>
    <row r="28" spans="2:6" outlineLevel="1" x14ac:dyDescent="0.3">
      <c r="B28" s="123" t="s">
        <v>338</v>
      </c>
    </row>
    <row r="29" spans="2:6" outlineLevel="1" x14ac:dyDescent="0.3">
      <c r="B29" s="28" t="s">
        <v>330</v>
      </c>
    </row>
    <row r="30" spans="2:6" ht="28.8" customHeight="1" outlineLevel="1" x14ac:dyDescent="0.3">
      <c r="B30" s="7" t="s">
        <v>144</v>
      </c>
    </row>
    <row r="31" spans="2:6" outlineLevel="1" x14ac:dyDescent="0.3">
      <c r="B31" s="28"/>
    </row>
    <row r="32" spans="2:6" outlineLevel="1" x14ac:dyDescent="0.3">
      <c r="B32" s="78" t="s">
        <v>230</v>
      </c>
    </row>
    <row r="33" spans="2:6" outlineLevel="1" x14ac:dyDescent="0.3">
      <c r="B33" s="7" t="s">
        <v>232</v>
      </c>
    </row>
    <row r="34" spans="2:6" outlineLevel="1" x14ac:dyDescent="0.3">
      <c r="B34" s="7" t="s">
        <v>237</v>
      </c>
    </row>
    <row r="35" spans="2:6" outlineLevel="1" x14ac:dyDescent="0.3">
      <c r="B35" s="7" t="s">
        <v>233</v>
      </c>
    </row>
    <row r="36" spans="2:6" outlineLevel="1" x14ac:dyDescent="0.3">
      <c r="B36" s="7" t="s">
        <v>234</v>
      </c>
    </row>
    <row r="37" spans="2:6" ht="50.4" customHeight="1" outlineLevel="1" x14ac:dyDescent="0.3">
      <c r="B37" s="7" t="s">
        <v>272</v>
      </c>
    </row>
    <row r="38" spans="2:6" ht="28.8" outlineLevel="1" x14ac:dyDescent="0.3">
      <c r="B38" s="7" t="s">
        <v>225</v>
      </c>
    </row>
    <row r="39" spans="2:6" outlineLevel="1" x14ac:dyDescent="0.3">
      <c r="B39" s="28"/>
    </row>
    <row r="40" spans="2:6" outlineLevel="1" x14ac:dyDescent="0.3">
      <c r="B40" s="78" t="s">
        <v>235</v>
      </c>
    </row>
    <row r="41" spans="2:6" ht="32.4" customHeight="1" outlineLevel="1" x14ac:dyDescent="0.3">
      <c r="B41" s="7" t="s">
        <v>236</v>
      </c>
    </row>
    <row r="42" spans="2:6" ht="32.4" customHeight="1" outlineLevel="1" x14ac:dyDescent="0.3">
      <c r="B42" s="7" t="s">
        <v>396</v>
      </c>
    </row>
    <row r="43" spans="2:6" ht="16.8" customHeight="1" x14ac:dyDescent="0.3"/>
    <row r="44" spans="2:6" x14ac:dyDescent="0.3">
      <c r="B44" s="124" t="s">
        <v>231</v>
      </c>
      <c r="C44" s="6"/>
      <c r="D44" s="6"/>
      <c r="E44" s="6"/>
      <c r="F44" s="6"/>
    </row>
    <row r="45" spans="2:6" outlineLevel="1" x14ac:dyDescent="0.3"/>
    <row r="46" spans="2:6" outlineLevel="1" x14ac:dyDescent="0.3">
      <c r="B46" s="7" t="s">
        <v>145</v>
      </c>
    </row>
    <row r="47" spans="2:6" outlineLevel="1" x14ac:dyDescent="0.3"/>
    <row r="48" spans="2:6" outlineLevel="1" x14ac:dyDescent="0.3">
      <c r="B48" s="101" t="s">
        <v>274</v>
      </c>
    </row>
    <row r="49" spans="2:2" outlineLevel="1" x14ac:dyDescent="0.3">
      <c r="B49" s="8" t="s">
        <v>331</v>
      </c>
    </row>
    <row r="50" spans="2:2" outlineLevel="1" x14ac:dyDescent="0.3">
      <c r="B50" s="8" t="s">
        <v>332</v>
      </c>
    </row>
    <row r="51" spans="2:2" outlineLevel="1" x14ac:dyDescent="0.3">
      <c r="B51" s="8" t="s">
        <v>273</v>
      </c>
    </row>
    <row r="52" spans="2:2" outlineLevel="1" x14ac:dyDescent="0.3"/>
    <row r="53" spans="2:2" outlineLevel="1" x14ac:dyDescent="0.3">
      <c r="B53" s="101" t="s">
        <v>275</v>
      </c>
    </row>
    <row r="54" spans="2:2" outlineLevel="1" x14ac:dyDescent="0.3">
      <c r="B54" s="8" t="s">
        <v>276</v>
      </c>
    </row>
    <row r="55" spans="2:2" outlineLevel="1" x14ac:dyDescent="0.3">
      <c r="B55" s="8" t="s">
        <v>277</v>
      </c>
    </row>
    <row r="56" spans="2:2" ht="30" customHeight="1" outlineLevel="1" x14ac:dyDescent="0.3">
      <c r="B56" s="8" t="s">
        <v>278</v>
      </c>
    </row>
    <row r="57" spans="2:2" outlineLevel="1" x14ac:dyDescent="0.3">
      <c r="B57" s="8" t="s">
        <v>279</v>
      </c>
    </row>
    <row r="58" spans="2:2" outlineLevel="1" x14ac:dyDescent="0.3">
      <c r="B58" s="8"/>
    </row>
    <row r="59" spans="2:2" outlineLevel="1" x14ac:dyDescent="0.3">
      <c r="B59" s="101" t="s">
        <v>280</v>
      </c>
    </row>
    <row r="60" spans="2:2" ht="28.8" outlineLevel="1" x14ac:dyDescent="0.3">
      <c r="B60" s="8" t="s">
        <v>333</v>
      </c>
    </row>
    <row r="61" spans="2:2" outlineLevel="1" x14ac:dyDescent="0.3">
      <c r="B61" s="8" t="s">
        <v>196</v>
      </c>
    </row>
    <row r="62" spans="2:2" outlineLevel="1" x14ac:dyDescent="0.3">
      <c r="B62" s="8" t="s">
        <v>281</v>
      </c>
    </row>
    <row r="63" spans="2:2" x14ac:dyDescent="0.3">
      <c r="B63" s="8"/>
    </row>
  </sheetData>
  <hyperlinks>
    <hyperlink ref="B8" r:id="rId1" xr:uid="{0A091405-D023-4527-A0E8-D6DA57B54AF8}"/>
    <hyperlink ref="B9" r:id="rId2" xr:uid="{442D350D-6224-429E-95F6-77AA3087F65D}"/>
  </hyperlinks>
  <pageMargins left="0.7" right="0.7" top="0.75" bottom="0.75" header="0.3" footer="0.3"/>
  <pageSetup paperSize="9" orientation="portrait"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5AA2-DEE8-4C30-9EEF-CC8CF45AD0B9}">
  <dimension ref="B1:C29"/>
  <sheetViews>
    <sheetView showGridLines="0" workbookViewId="0"/>
  </sheetViews>
  <sheetFormatPr defaultRowHeight="14.4" x14ac:dyDescent="0.3"/>
  <cols>
    <col min="1" max="1" width="2.21875" customWidth="1"/>
    <col min="2" max="2" width="12.44140625" customWidth="1"/>
    <col min="3" max="3" width="46.33203125" customWidth="1"/>
  </cols>
  <sheetData>
    <row r="1" spans="2:3" ht="7.8" customHeight="1" x14ac:dyDescent="0.3"/>
    <row r="2" spans="2:3" s="7" customFormat="1" x14ac:dyDescent="0.3">
      <c r="B2" s="125" t="s">
        <v>64</v>
      </c>
      <c r="C2" s="125"/>
    </row>
    <row r="3" spans="2:3" s="7" customFormat="1" x14ac:dyDescent="0.3">
      <c r="B3" s="29"/>
    </row>
    <row r="4" spans="2:3" s="7" customFormat="1" x14ac:dyDescent="0.3">
      <c r="B4" s="29" t="s">
        <v>84</v>
      </c>
      <c r="C4" s="7" t="s">
        <v>6</v>
      </c>
    </row>
    <row r="5" spans="2:3" s="7" customFormat="1" x14ac:dyDescent="0.3">
      <c r="B5" s="29" t="s">
        <v>65</v>
      </c>
      <c r="C5" s="7" t="s">
        <v>324</v>
      </c>
    </row>
    <row r="6" spans="2:3" s="7" customFormat="1" ht="28.8" x14ac:dyDescent="0.3">
      <c r="B6" s="29" t="s">
        <v>29</v>
      </c>
      <c r="C6" s="7" t="s">
        <v>197</v>
      </c>
    </row>
    <row r="7" spans="2:3" s="7" customFormat="1" x14ac:dyDescent="0.3">
      <c r="B7" s="29" t="s">
        <v>200</v>
      </c>
      <c r="C7" s="7" t="s">
        <v>201</v>
      </c>
    </row>
    <row r="8" spans="2:3" s="7" customFormat="1" x14ac:dyDescent="0.3">
      <c r="B8" s="29" t="s">
        <v>203</v>
      </c>
      <c r="C8" s="7" t="s">
        <v>71</v>
      </c>
    </row>
    <row r="9" spans="2:3" s="7" customFormat="1" ht="28.8" x14ac:dyDescent="0.3">
      <c r="B9" s="29" t="s">
        <v>32</v>
      </c>
      <c r="C9" s="7" t="s">
        <v>199</v>
      </c>
    </row>
    <row r="10" spans="2:3" s="7" customFormat="1" x14ac:dyDescent="0.3">
      <c r="B10" s="29" t="s">
        <v>85</v>
      </c>
      <c r="C10" s="7" t="s">
        <v>86</v>
      </c>
    </row>
    <row r="11" spans="2:3" s="7" customFormat="1" x14ac:dyDescent="0.3">
      <c r="B11" s="29" t="s">
        <v>202</v>
      </c>
      <c r="C11" s="7" t="s">
        <v>94</v>
      </c>
    </row>
    <row r="12" spans="2:3" s="7" customFormat="1" x14ac:dyDescent="0.3">
      <c r="B12" s="29" t="s">
        <v>198</v>
      </c>
      <c r="C12" s="7" t="s">
        <v>2</v>
      </c>
    </row>
    <row r="13" spans="2:3" s="7" customFormat="1" x14ac:dyDescent="0.3">
      <c r="B13" s="29" t="s">
        <v>67</v>
      </c>
      <c r="C13" s="7" t="s">
        <v>68</v>
      </c>
    </row>
    <row r="14" spans="2:3" s="7" customFormat="1" x14ac:dyDescent="0.3">
      <c r="B14" s="29" t="s">
        <v>206</v>
      </c>
      <c r="C14" s="7" t="s">
        <v>207</v>
      </c>
    </row>
    <row r="15" spans="2:3" s="7" customFormat="1" x14ac:dyDescent="0.3">
      <c r="B15" s="29" t="s">
        <v>210</v>
      </c>
      <c r="C15" s="7" t="s">
        <v>211</v>
      </c>
    </row>
    <row r="16" spans="2:3" s="7" customFormat="1" x14ac:dyDescent="0.3">
      <c r="B16" s="29" t="s">
        <v>212</v>
      </c>
      <c r="C16" s="7" t="s">
        <v>213</v>
      </c>
    </row>
    <row r="17" spans="2:3" s="7" customFormat="1" x14ac:dyDescent="0.3">
      <c r="B17" s="29" t="s">
        <v>204</v>
      </c>
      <c r="C17" s="7" t="s">
        <v>205</v>
      </c>
    </row>
    <row r="18" spans="2:3" s="7" customFormat="1" x14ac:dyDescent="0.3">
      <c r="B18" s="29" t="s">
        <v>83</v>
      </c>
      <c r="C18" s="7" t="s">
        <v>31</v>
      </c>
    </row>
    <row r="19" spans="2:3" s="7" customFormat="1" x14ac:dyDescent="0.3">
      <c r="B19" s="7" t="s">
        <v>208</v>
      </c>
      <c r="C19" s="7" t="s">
        <v>209</v>
      </c>
    </row>
    <row r="20" spans="2:3" s="7" customFormat="1" x14ac:dyDescent="0.3"/>
    <row r="21" spans="2:3" s="7" customFormat="1" x14ac:dyDescent="0.3"/>
    <row r="22" spans="2:3" s="7" customFormat="1" x14ac:dyDescent="0.3"/>
    <row r="23" spans="2:3" s="7" customFormat="1" x14ac:dyDescent="0.3"/>
    <row r="24" spans="2:3" s="7" customFormat="1" x14ac:dyDescent="0.3"/>
    <row r="25" spans="2:3" s="7" customFormat="1" x14ac:dyDescent="0.3"/>
    <row r="26" spans="2:3" s="7" customFormat="1" x14ac:dyDescent="0.3"/>
    <row r="27" spans="2:3" s="7" customFormat="1" x14ac:dyDescent="0.3"/>
    <row r="28" spans="2:3" s="7" customFormat="1" x14ac:dyDescent="0.3"/>
    <row r="29" spans="2:3" s="7" customFormat="1"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32EF-EC6D-4AE9-A404-D277724C4416}">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DB4A2-66B7-4348-9226-3FEAD3D8F009}">
  <dimension ref="B1:E31"/>
  <sheetViews>
    <sheetView showGridLines="0" workbookViewId="0"/>
  </sheetViews>
  <sheetFormatPr defaultRowHeight="14.4" x14ac:dyDescent="0.3"/>
  <cols>
    <col min="1" max="1" width="2.21875" customWidth="1"/>
    <col min="2" max="2" width="14.6640625" style="143" customWidth="1"/>
    <col min="3" max="3" width="2.33203125" customWidth="1"/>
    <col min="4" max="4" width="21.33203125" customWidth="1"/>
    <col min="5" max="5" width="76.33203125" customWidth="1"/>
  </cols>
  <sheetData>
    <row r="1" spans="2:5" ht="7.8" customHeight="1" x14ac:dyDescent="0.3"/>
    <row r="2" spans="2:5" s="7" customFormat="1" x14ac:dyDescent="0.3">
      <c r="B2" s="166" t="s">
        <v>343</v>
      </c>
      <c r="C2" s="125"/>
      <c r="D2" s="125"/>
      <c r="E2" s="125"/>
    </row>
    <row r="3" spans="2:5" s="7" customFormat="1" x14ac:dyDescent="0.3">
      <c r="B3" s="167"/>
    </row>
    <row r="4" spans="2:5" s="7" customFormat="1" ht="21" customHeight="1" x14ac:dyDescent="0.3">
      <c r="B4" s="168" t="s">
        <v>344</v>
      </c>
      <c r="C4" s="101"/>
      <c r="D4" s="101" t="s">
        <v>345</v>
      </c>
      <c r="E4" s="101" t="s">
        <v>16</v>
      </c>
    </row>
    <row r="5" spans="2:5" s="7" customFormat="1" x14ac:dyDescent="0.3">
      <c r="B5" s="169">
        <f>SUM(B6:B25)</f>
        <v>0</v>
      </c>
      <c r="C5" s="101"/>
      <c r="D5" s="101" t="s">
        <v>391</v>
      </c>
      <c r="E5" s="101" t="s">
        <v>390</v>
      </c>
    </row>
    <row r="6" spans="2:5" s="7" customFormat="1" x14ac:dyDescent="0.3">
      <c r="B6" s="168"/>
      <c r="C6" s="101"/>
      <c r="D6" s="101"/>
      <c r="E6" s="101"/>
    </row>
    <row r="7" spans="2:5" s="7" customFormat="1" x14ac:dyDescent="0.3">
      <c r="B7" s="199"/>
      <c r="C7" s="200"/>
      <c r="D7" s="200"/>
      <c r="E7" s="200"/>
    </row>
    <row r="8" spans="2:5" s="7" customFormat="1" x14ac:dyDescent="0.3">
      <c r="B8" s="169">
        <f>SUM('1. Realisatie RR en BS'!66:66)</f>
        <v>0</v>
      </c>
      <c r="D8" s="132" t="s">
        <v>346</v>
      </c>
      <c r="E8" s="132" t="s">
        <v>358</v>
      </c>
    </row>
    <row r="9" spans="2:5" s="7" customFormat="1" x14ac:dyDescent="0.3">
      <c r="B9" s="169">
        <f>SUM('1. Realisatie RR en BS'!72:72)</f>
        <v>0</v>
      </c>
      <c r="D9" s="132" t="s">
        <v>346</v>
      </c>
      <c r="E9" s="7" t="s">
        <v>347</v>
      </c>
    </row>
    <row r="10" spans="2:5" s="7" customFormat="1" x14ac:dyDescent="0.3">
      <c r="B10" s="170"/>
    </row>
    <row r="11" spans="2:5" s="7" customFormat="1" x14ac:dyDescent="0.3">
      <c r="B11" s="169">
        <f>SUM('2. Prognose RR'!76:76)</f>
        <v>0</v>
      </c>
      <c r="D11" s="7" t="s">
        <v>359</v>
      </c>
      <c r="E11" s="7" t="s">
        <v>360</v>
      </c>
    </row>
    <row r="12" spans="2:5" s="7" customFormat="1" x14ac:dyDescent="0.3">
      <c r="B12" s="169">
        <f>SUM('2. Prognose RR'!80:80)</f>
        <v>0</v>
      </c>
      <c r="D12" s="7" t="s">
        <v>359</v>
      </c>
      <c r="E12" s="7" t="s">
        <v>361</v>
      </c>
    </row>
    <row r="13" spans="2:5" s="7" customFormat="1" x14ac:dyDescent="0.3">
      <c r="B13" s="169">
        <f>SUM('2. Prognose RR'!86:86)</f>
        <v>0</v>
      </c>
      <c r="D13" s="7" t="s">
        <v>359</v>
      </c>
      <c r="E13" s="7" t="s">
        <v>368</v>
      </c>
    </row>
    <row r="14" spans="2:5" s="7" customFormat="1" x14ac:dyDescent="0.3">
      <c r="B14" s="170"/>
    </row>
    <row r="15" spans="2:5" s="7" customFormat="1" x14ac:dyDescent="0.3">
      <c r="B15" s="169">
        <f>SUM('3. Prognose BS'!64:64)</f>
        <v>0</v>
      </c>
      <c r="D15" s="7" t="s">
        <v>373</v>
      </c>
      <c r="E15" s="7" t="s">
        <v>374</v>
      </c>
    </row>
    <row r="16" spans="2:5" s="7" customFormat="1" x14ac:dyDescent="0.3">
      <c r="B16" s="169">
        <f>SUM('3. Prognose BS'!74:74)</f>
        <v>0</v>
      </c>
      <c r="D16" s="7" t="s">
        <v>373</v>
      </c>
      <c r="E16" s="7" t="s">
        <v>376</v>
      </c>
    </row>
    <row r="17" spans="2:5" s="7" customFormat="1" x14ac:dyDescent="0.3">
      <c r="B17" s="170"/>
    </row>
    <row r="18" spans="2:5" s="7" customFormat="1" x14ac:dyDescent="0.3">
      <c r="B18" s="169">
        <f>SUM('3. Prognose BS'!132:132)</f>
        <v>0</v>
      </c>
      <c r="D18" s="7" t="s">
        <v>373</v>
      </c>
      <c r="E18" s="7" t="s">
        <v>380</v>
      </c>
    </row>
    <row r="19" spans="2:5" s="7" customFormat="1" x14ac:dyDescent="0.3">
      <c r="B19" s="169">
        <f>SUM('3. Prognose BS'!136:136)</f>
        <v>0</v>
      </c>
      <c r="D19" s="7" t="s">
        <v>373</v>
      </c>
      <c r="E19" s="7" t="s">
        <v>384</v>
      </c>
    </row>
    <row r="20" spans="2:5" s="7" customFormat="1" x14ac:dyDescent="0.3">
      <c r="B20" s="170"/>
    </row>
    <row r="21" spans="2:5" s="7" customFormat="1" x14ac:dyDescent="0.3">
      <c r="B21" s="169">
        <f>SUM(Balans!33:33)</f>
        <v>0</v>
      </c>
      <c r="D21" s="7" t="s">
        <v>6</v>
      </c>
      <c r="E21" s="7" t="s">
        <v>383</v>
      </c>
    </row>
    <row r="22" spans="2:5" s="7" customFormat="1" x14ac:dyDescent="0.3">
      <c r="B22" s="170"/>
    </row>
    <row r="23" spans="2:5" s="7" customFormat="1" x14ac:dyDescent="0.3">
      <c r="B23" s="169">
        <f>SUM(Kasstroomoverzicht!44:44)</f>
        <v>0</v>
      </c>
      <c r="D23" s="7" t="s">
        <v>86</v>
      </c>
      <c r="E23" s="7" t="s">
        <v>385</v>
      </c>
    </row>
    <row r="24" spans="2:5" s="7" customFormat="1" x14ac:dyDescent="0.3">
      <c r="B24" s="170"/>
    </row>
    <row r="25" spans="2:5" s="7" customFormat="1" x14ac:dyDescent="0.3">
      <c r="B25" s="170"/>
    </row>
    <row r="26" spans="2:5" s="7" customFormat="1" x14ac:dyDescent="0.3">
      <c r="B26" s="170"/>
    </row>
    <row r="27" spans="2:5" s="7" customFormat="1" x14ac:dyDescent="0.3">
      <c r="B27" s="170"/>
    </row>
    <row r="28" spans="2:5" s="7" customFormat="1" x14ac:dyDescent="0.3">
      <c r="B28" s="170"/>
    </row>
    <row r="29" spans="2:5" s="7" customFormat="1" x14ac:dyDescent="0.3">
      <c r="B29" s="170"/>
    </row>
    <row r="30" spans="2:5" s="7" customFormat="1" x14ac:dyDescent="0.3">
      <c r="B30" s="170"/>
    </row>
    <row r="31" spans="2:5" s="7" customFormat="1" x14ac:dyDescent="0.3">
      <c r="B31" s="170"/>
    </row>
  </sheetData>
  <conditionalFormatting sqref="B5">
    <cfRule type="cellIs" dxfId="49" priority="1" operator="notEqual">
      <formula>0</formula>
    </cfRule>
    <cfRule type="cellIs" dxfId="48" priority="2" operator="equal">
      <formula>0</formula>
    </cfRule>
  </conditionalFormatting>
  <conditionalFormatting sqref="B8:B9">
    <cfRule type="cellIs" dxfId="47" priority="15" operator="notEqual">
      <formula>0</formula>
    </cfRule>
    <cfRule type="cellIs" dxfId="46" priority="16" operator="equal">
      <formula>0</formula>
    </cfRule>
  </conditionalFormatting>
  <conditionalFormatting sqref="B11:B13">
    <cfRule type="cellIs" dxfId="45" priority="11" operator="notEqual">
      <formula>0</formula>
    </cfRule>
    <cfRule type="cellIs" dxfId="44" priority="12" operator="equal">
      <formula>0</formula>
    </cfRule>
  </conditionalFormatting>
  <conditionalFormatting sqref="B15:B16">
    <cfRule type="cellIs" dxfId="43" priority="9" operator="notEqual">
      <formula>0</formula>
    </cfRule>
    <cfRule type="cellIs" dxfId="42" priority="10" operator="equal">
      <formula>0</formula>
    </cfRule>
  </conditionalFormatting>
  <conditionalFormatting sqref="B18:B19">
    <cfRule type="cellIs" dxfId="41" priority="7" operator="notEqual">
      <formula>0</formula>
    </cfRule>
    <cfRule type="cellIs" dxfId="40" priority="8" operator="equal">
      <formula>0</formula>
    </cfRule>
  </conditionalFormatting>
  <conditionalFormatting sqref="B21">
    <cfRule type="cellIs" dxfId="39" priority="5" operator="notEqual">
      <formula>0</formula>
    </cfRule>
    <cfRule type="cellIs" dxfId="38" priority="6" operator="equal">
      <formula>0</formula>
    </cfRule>
  </conditionalFormatting>
  <conditionalFormatting sqref="B23">
    <cfRule type="cellIs" dxfId="37" priority="3" operator="notEqual">
      <formula>0</formula>
    </cfRule>
    <cfRule type="cellIs" dxfId="36" priority="4" operator="equal">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00B98-0A13-42D8-B053-E2B33BCC815A}">
  <sheetPr>
    <pageSetUpPr fitToPage="1"/>
  </sheetPr>
  <dimension ref="B1:AO40"/>
  <sheetViews>
    <sheetView showGridLines="0" tabSelected="1" zoomScale="90" zoomScaleNormal="90" workbookViewId="0"/>
  </sheetViews>
  <sheetFormatPr defaultRowHeight="14.4" x14ac:dyDescent="0.3"/>
  <cols>
    <col min="1" max="1" width="2.21875" customWidth="1"/>
    <col min="2" max="2" width="2.77734375" customWidth="1"/>
    <col min="3" max="3" width="2.88671875" customWidth="1"/>
    <col min="8" max="8" width="8.88671875" customWidth="1"/>
    <col min="9" max="9" width="1.88671875" customWidth="1"/>
    <col min="14" max="14" width="8.88671875" customWidth="1"/>
    <col min="15" max="15" width="1.77734375" customWidth="1"/>
  </cols>
  <sheetData>
    <row r="1" spans="2:41" ht="8.4" customHeight="1" x14ac:dyDescent="0.3"/>
    <row r="2" spans="2:41" ht="15.6" x14ac:dyDescent="0.3">
      <c r="B2" s="22" t="s">
        <v>130</v>
      </c>
      <c r="C2" s="23"/>
      <c r="D2" s="23"/>
      <c r="E2" s="23"/>
      <c r="F2" s="23"/>
      <c r="G2" s="23"/>
      <c r="H2" s="23"/>
      <c r="I2" s="23"/>
      <c r="J2" s="23"/>
      <c r="K2" s="23"/>
      <c r="L2" s="23"/>
      <c r="M2" s="23"/>
      <c r="N2" s="23"/>
      <c r="O2" s="23"/>
      <c r="P2" s="23"/>
      <c r="Q2" s="23"/>
      <c r="R2" s="23"/>
      <c r="S2" s="23"/>
      <c r="T2" s="24" t="s">
        <v>28</v>
      </c>
      <c r="U2" s="25"/>
      <c r="V2" s="25"/>
      <c r="W2" s="25" t="s">
        <v>390</v>
      </c>
      <c r="X2" s="25"/>
      <c r="Y2" s="169">
        <f>ErrorChecks!B5</f>
        <v>0</v>
      </c>
      <c r="AB2" s="3" t="s">
        <v>238</v>
      </c>
      <c r="AF2" s="18" t="s">
        <v>134</v>
      </c>
      <c r="AG2" s="19"/>
      <c r="AH2" s="18"/>
      <c r="AI2" s="19"/>
      <c r="AJ2" s="19"/>
      <c r="AK2" s="19"/>
      <c r="AL2" s="19"/>
      <c r="AM2" s="19"/>
      <c r="AN2" s="19"/>
      <c r="AO2" s="19"/>
    </row>
    <row r="3" spans="2:41" x14ac:dyDescent="0.3">
      <c r="B3" s="27" t="s">
        <v>381</v>
      </c>
      <c r="AF3" s="18"/>
      <c r="AG3" s="19"/>
      <c r="AH3" s="18"/>
      <c r="AI3" s="19" t="str">
        <f>"R "&amp;RIGHT(RR!E5,2)</f>
        <v>R 24</v>
      </c>
      <c r="AJ3" s="19" t="str">
        <f>"R "&amp;VALUE(RIGHT(AI3,2))+1</f>
        <v>R 25</v>
      </c>
      <c r="AK3" s="19" t="str">
        <f>"P "&amp;VALUE(RIGHT(AJ3,2))+1</f>
        <v>P 26</v>
      </c>
      <c r="AL3" s="19" t="str">
        <f t="shared" ref="AL3:AO3" si="0">"P "&amp;VALUE(RIGHT(AK3,2))+1</f>
        <v>P 27</v>
      </c>
      <c r="AM3" s="19" t="str">
        <f t="shared" si="0"/>
        <v>P 28</v>
      </c>
      <c r="AN3" s="19" t="str">
        <f t="shared" si="0"/>
        <v>P 29</v>
      </c>
      <c r="AO3" s="19" t="str">
        <f t="shared" si="0"/>
        <v>P 30</v>
      </c>
    </row>
    <row r="4" spans="2:41" ht="14.4" customHeight="1" x14ac:dyDescent="0.3">
      <c r="B4" s="201" t="s">
        <v>131</v>
      </c>
    </row>
    <row r="5" spans="2:41" x14ac:dyDescent="0.3">
      <c r="B5" s="201"/>
      <c r="AF5" t="s">
        <v>191</v>
      </c>
      <c r="AI5" s="1">
        <f>Ratios!E8</f>
        <v>1200</v>
      </c>
      <c r="AJ5" s="1">
        <f>Ratios!F8</f>
        <v>1200</v>
      </c>
      <c r="AK5" s="1">
        <f>Ratios!G8</f>
        <v>1200</v>
      </c>
      <c r="AL5" s="1">
        <f>Ratios!H8</f>
        <v>1300</v>
      </c>
      <c r="AM5" s="1">
        <f>Ratios!I8</f>
        <v>1400</v>
      </c>
      <c r="AN5" s="1">
        <f>Ratios!J8</f>
        <v>1500</v>
      </c>
      <c r="AO5" s="1">
        <f>Ratios!K8</f>
        <v>1500</v>
      </c>
    </row>
    <row r="6" spans="2:41" x14ac:dyDescent="0.3">
      <c r="B6" s="201"/>
      <c r="AF6" t="s">
        <v>192</v>
      </c>
      <c r="AI6" s="143">
        <f>Ratios!E9</f>
        <v>416.66666666666669</v>
      </c>
      <c r="AJ6" s="143">
        <f>Ratios!F9</f>
        <v>380</v>
      </c>
      <c r="AK6" s="143">
        <f>Ratios!G9</f>
        <v>387.6</v>
      </c>
      <c r="AL6" s="143">
        <f>Ratios!H9</f>
        <v>395.35200000000003</v>
      </c>
      <c r="AM6" s="143">
        <f>Ratios!I9</f>
        <v>403.25904000000003</v>
      </c>
      <c r="AN6" s="143">
        <f>Ratios!J9</f>
        <v>411.32422080000003</v>
      </c>
      <c r="AO6" s="143">
        <f>Ratios!K9</f>
        <v>419.55070521600004</v>
      </c>
    </row>
    <row r="7" spans="2:41" x14ac:dyDescent="0.3">
      <c r="B7" s="201"/>
    </row>
    <row r="8" spans="2:41" x14ac:dyDescent="0.3">
      <c r="B8" s="201"/>
      <c r="AF8" t="s">
        <v>193</v>
      </c>
      <c r="AI8" s="143">
        <f>'2. Prognose RR'!E11</f>
        <v>500</v>
      </c>
      <c r="AJ8" s="143">
        <f>'2. Prognose RR'!F11</f>
        <v>456</v>
      </c>
      <c r="AK8" s="143">
        <f>'2. Prognose RR'!G11</f>
        <v>465.12</v>
      </c>
      <c r="AL8" s="143">
        <f>'2. Prognose RR'!H11</f>
        <v>513.95760000000007</v>
      </c>
      <c r="AM8" s="143">
        <f>'2. Prognose RR'!I11</f>
        <v>564.56265600000006</v>
      </c>
      <c r="AN8" s="143">
        <f>'2. Prognose RR'!J11</f>
        <v>616.9863312</v>
      </c>
      <c r="AO8" s="143">
        <f>'2. Prognose RR'!K11</f>
        <v>629.32605782400003</v>
      </c>
    </row>
    <row r="9" spans="2:41" x14ac:dyDescent="0.3">
      <c r="B9" s="201"/>
      <c r="AF9" t="s">
        <v>135</v>
      </c>
      <c r="AI9" s="143">
        <f>'2. Prognose RR'!E17</f>
        <v>23</v>
      </c>
      <c r="AJ9" s="143">
        <f>'2. Prognose RR'!F17</f>
        <v>23</v>
      </c>
      <c r="AK9" s="143">
        <f>'2. Prognose RR'!G17</f>
        <v>53.46</v>
      </c>
      <c r="AL9" s="143">
        <f>'2. Prognose RR'!H17</f>
        <v>23.929200000000002</v>
      </c>
      <c r="AM9" s="143">
        <f>'2. Prognose RR'!I17</f>
        <v>24.407784000000003</v>
      </c>
      <c r="AN9" s="143">
        <f>'2. Prognose RR'!J17</f>
        <v>24.895939680000001</v>
      </c>
      <c r="AO9" s="143">
        <f>'2. Prognose RR'!K17</f>
        <v>25.393858473600002</v>
      </c>
    </row>
    <row r="10" spans="2:41" x14ac:dyDescent="0.3">
      <c r="B10" s="201"/>
      <c r="AI10" s="143"/>
      <c r="AJ10" s="143"/>
      <c r="AK10" s="143"/>
      <c r="AL10" s="143"/>
      <c r="AM10" s="143"/>
      <c r="AN10" s="143"/>
      <c r="AO10" s="143"/>
    </row>
    <row r="11" spans="2:41" x14ac:dyDescent="0.3">
      <c r="B11" s="201"/>
      <c r="AF11" t="s">
        <v>322</v>
      </c>
      <c r="AI11" s="143">
        <f>RR!E9</f>
        <v>223</v>
      </c>
      <c r="AJ11" s="143">
        <f>RR!F9</f>
        <v>159</v>
      </c>
      <c r="AK11" s="143">
        <f>RR!G9</f>
        <v>239.50800000000004</v>
      </c>
      <c r="AL11" s="143">
        <f>RR!H9</f>
        <v>229.51224000000008</v>
      </c>
      <c r="AM11" s="143">
        <f>RR!I9</f>
        <v>250.23284640000003</v>
      </c>
      <c r="AN11" s="143">
        <f>RR!J9</f>
        <v>271.69047215999996</v>
      </c>
      <c r="AO11" s="143">
        <f>RR!K9</f>
        <v>277.12428160319996</v>
      </c>
    </row>
    <row r="12" spans="2:41" x14ac:dyDescent="0.3">
      <c r="B12" s="201"/>
      <c r="AF12" t="s">
        <v>323</v>
      </c>
      <c r="AI12" s="21">
        <f>Ratios!E13</f>
        <v>0.42638623326959846</v>
      </c>
      <c r="AJ12" s="21">
        <f>Ratios!F13</f>
        <v>0.33194154488517746</v>
      </c>
      <c r="AK12" s="21">
        <f>Ratios!G13</f>
        <v>0.46185352308226313</v>
      </c>
      <c r="AL12" s="21">
        <f>Ratios!H13</f>
        <v>0.42669245647969056</v>
      </c>
      <c r="AM12" s="21">
        <f>Ratios!I13</f>
        <v>0.42486486486486486</v>
      </c>
      <c r="AN12" s="21">
        <f>Ratios!J13</f>
        <v>0.42327150084317028</v>
      </c>
      <c r="AO12" s="21">
        <f>Ratios!K13</f>
        <v>0.42327150084317028</v>
      </c>
    </row>
    <row r="13" spans="2:41" x14ac:dyDescent="0.3">
      <c r="AI13" s="1"/>
      <c r="AJ13" s="1"/>
      <c r="AK13" s="1"/>
      <c r="AL13" s="1"/>
      <c r="AM13" s="1"/>
      <c r="AN13" s="1"/>
      <c r="AO13" s="1"/>
    </row>
    <row r="14" spans="2:41" x14ac:dyDescent="0.3">
      <c r="B14" s="201" t="s">
        <v>132</v>
      </c>
      <c r="AF14" t="s">
        <v>132</v>
      </c>
      <c r="AI14" s="143">
        <f>RR!E25</f>
        <v>55</v>
      </c>
      <c r="AJ14" s="143">
        <f>RR!F25</f>
        <v>6</v>
      </c>
      <c r="AK14" s="143">
        <f>RR!G25</f>
        <v>81.456454275000027</v>
      </c>
      <c r="AL14" s="143">
        <f>RR!H25</f>
        <v>81.036060000000035</v>
      </c>
      <c r="AM14" s="143">
        <f>RR!I25</f>
        <v>42.307639680000023</v>
      </c>
      <c r="AN14" s="143">
        <f>RR!J25</f>
        <v>64.929058123199965</v>
      </c>
      <c r="AO14" s="143">
        <f>RR!K25</f>
        <v>68.159639285663957</v>
      </c>
    </row>
    <row r="15" spans="2:41" x14ac:dyDescent="0.3">
      <c r="B15" s="201"/>
      <c r="AF15" t="s">
        <v>60</v>
      </c>
      <c r="AI15" s="21">
        <f>Ratios!E17</f>
        <v>0.10516252390057361</v>
      </c>
      <c r="AJ15" s="21">
        <f>Ratios!F17</f>
        <v>1.2526096033402923E-2</v>
      </c>
      <c r="AK15" s="21">
        <f>Ratios!G17</f>
        <v>0.1570759656658568</v>
      </c>
      <c r="AL15" s="21">
        <f>Ratios!H17</f>
        <v>0.15065634627955179</v>
      </c>
      <c r="AM15" s="21">
        <f>Ratios!I17</f>
        <v>7.1833214040419452E-2</v>
      </c>
      <c r="AN15" s="21">
        <f>Ratios!J17</f>
        <v>0.10115415406969305</v>
      </c>
      <c r="AO15" s="21">
        <f>Ratios!K17</f>
        <v>0.10410503421234295</v>
      </c>
    </row>
    <row r="16" spans="2:41" x14ac:dyDescent="0.3">
      <c r="B16" s="201"/>
      <c r="AF16" t="s">
        <v>117</v>
      </c>
      <c r="AI16" s="21"/>
      <c r="AJ16" s="21">
        <f>Ratios!F18</f>
        <v>1.3937282229965157E-2</v>
      </c>
      <c r="AK16" s="21">
        <f>Ratios!G18</f>
        <v>0.17452652215740666</v>
      </c>
      <c r="AL16" s="21">
        <f>Ratios!H18</f>
        <v>0.15063179085381356</v>
      </c>
      <c r="AM16" s="21">
        <f>Ratios!I18</f>
        <v>7.2056380533772585E-2</v>
      </c>
      <c r="AN16" s="21">
        <f>Ratios!J18</f>
        <v>0.10417573768008712</v>
      </c>
      <c r="AO16" s="21">
        <f>Ratios!K18</f>
        <v>0.10175980922582079</v>
      </c>
    </row>
    <row r="17" spans="2:41" x14ac:dyDescent="0.3">
      <c r="B17" s="201"/>
    </row>
    <row r="18" spans="2:41" x14ac:dyDescent="0.3">
      <c r="B18" s="201"/>
      <c r="AF18" t="s">
        <v>120</v>
      </c>
      <c r="AI18" s="21"/>
      <c r="AJ18" s="21">
        <f>Ratios!F28</f>
        <v>0.67795275590551185</v>
      </c>
      <c r="AK18" s="21">
        <f>Ratios!G28</f>
        <v>0.71925166334055901</v>
      </c>
      <c r="AL18" s="21">
        <f>Ratios!H28</f>
        <v>0.70335128668123537</v>
      </c>
      <c r="AM18" s="21">
        <f>Ratios!I28</f>
        <v>0.69755986758850441</v>
      </c>
      <c r="AN18" s="21">
        <f>Ratios!J28</f>
        <v>0.75256330299070551</v>
      </c>
      <c r="AO18" s="21">
        <f>Ratios!K28</f>
        <v>0.80159031696463945</v>
      </c>
    </row>
    <row r="19" spans="2:41" x14ac:dyDescent="0.3">
      <c r="B19" s="201"/>
      <c r="AF19" t="s">
        <v>137</v>
      </c>
      <c r="AI19" s="21"/>
      <c r="AJ19" s="21">
        <f>1-AJ18</f>
        <v>0.32204724409448815</v>
      </c>
      <c r="AK19" s="21">
        <f t="shared" ref="AK19:AO19" si="1">1-AK18</f>
        <v>0.28074833665944099</v>
      </c>
      <c r="AL19" s="21">
        <f t="shared" si="1"/>
        <v>0.29664871331876463</v>
      </c>
      <c r="AM19" s="21">
        <f t="shared" si="1"/>
        <v>0.30244013241149559</v>
      </c>
      <c r="AN19" s="21">
        <f t="shared" si="1"/>
        <v>0.24743669700929449</v>
      </c>
      <c r="AO19" s="21">
        <f t="shared" si="1"/>
        <v>0.19840968303536055</v>
      </c>
    </row>
    <row r="20" spans="2:41" x14ac:dyDescent="0.3">
      <c r="B20" s="201"/>
    </row>
    <row r="21" spans="2:41" x14ac:dyDescent="0.3">
      <c r="B21" s="201"/>
      <c r="AF21" t="s">
        <v>133</v>
      </c>
      <c r="AI21" s="143"/>
      <c r="AJ21" s="143">
        <f>Kasstroomoverzicht!F37</f>
        <v>-25</v>
      </c>
      <c r="AK21" s="143">
        <f>Kasstroomoverzicht!G37</f>
        <v>56.348158711986315</v>
      </c>
      <c r="AL21" s="143">
        <f>Kasstroomoverzicht!H37</f>
        <v>174.24479056438361</v>
      </c>
      <c r="AM21" s="143">
        <f>Kasstroomoverzicht!I37</f>
        <v>-150.47607569709587</v>
      </c>
      <c r="AN21" s="143">
        <f>Kasstroomoverzicht!J37</f>
        <v>0.15311547473967835</v>
      </c>
      <c r="AO21" s="143">
        <f>Kasstroomoverzicht!K37</f>
        <v>8.2123789391802404</v>
      </c>
    </row>
    <row r="22" spans="2:41" x14ac:dyDescent="0.3">
      <c r="B22" s="201"/>
      <c r="AF22" t="s">
        <v>136</v>
      </c>
      <c r="AI22" s="143">
        <f>Balans!E13</f>
        <v>104</v>
      </c>
      <c r="AJ22" s="143">
        <f>Balans!F13</f>
        <v>79</v>
      </c>
      <c r="AK22" s="143">
        <f>Balans!G13</f>
        <v>135.34815871198646</v>
      </c>
      <c r="AL22" s="143">
        <f>Balans!H13</f>
        <v>309.59294927637006</v>
      </c>
      <c r="AM22" s="143">
        <f>Balans!I13</f>
        <v>159.11687357927406</v>
      </c>
      <c r="AN22" s="143">
        <f>Balans!J13</f>
        <v>159.26998905401376</v>
      </c>
      <c r="AO22" s="143">
        <f>Balans!K13</f>
        <v>167.48236799319409</v>
      </c>
    </row>
    <row r="23" spans="2:41" x14ac:dyDescent="0.3">
      <c r="AF23" t="s">
        <v>110</v>
      </c>
      <c r="AI23" s="26">
        <f>Ratios!E23</f>
        <v>2.3095238095238093</v>
      </c>
      <c r="AJ23" s="26">
        <f>Ratios!F23</f>
        <v>1.8571428571428572</v>
      </c>
      <c r="AK23" s="26">
        <f>Ratios!G23</f>
        <v>2.6582897122280684</v>
      </c>
      <c r="AL23" s="26">
        <f>Ratios!H23</f>
        <v>2.5156168670945731</v>
      </c>
      <c r="AM23" s="26">
        <f>Ratios!I23</f>
        <v>1.8945013117486313</v>
      </c>
      <c r="AN23" s="26">
        <f>Ratios!J23</f>
        <v>2.1198595358391361</v>
      </c>
      <c r="AO23" s="26">
        <f>Ratios!K23</f>
        <v>2.4124371475800994</v>
      </c>
    </row>
    <row r="24" spans="2:41" x14ac:dyDescent="0.3">
      <c r="B24" s="201" t="s">
        <v>194</v>
      </c>
      <c r="AF24" t="s">
        <v>138</v>
      </c>
      <c r="AI24" s="26">
        <f>Ratios!E21</f>
        <v>4.5199999999999996</v>
      </c>
      <c r="AJ24" s="26">
        <f>Ratios!F21</f>
        <v>1.1666666666666667</v>
      </c>
      <c r="AK24" s="26">
        <f>Ratios!G21</f>
        <v>24.283379174852659</v>
      </c>
      <c r="AL24" s="26">
        <f>Ratios!H21</f>
        <v>11.701122222222228</v>
      </c>
      <c r="AM24" s="26">
        <f>Ratios!I21</f>
        <v>11.675843133134332</v>
      </c>
      <c r="AN24" s="26">
        <f>Ratios!J21</f>
        <v>24.083579702495037</v>
      </c>
      <c r="AO24" s="26">
        <f>Ratios!K21</f>
        <v>39.07228946379589</v>
      </c>
    </row>
    <row r="25" spans="2:41" x14ac:dyDescent="0.3">
      <c r="B25" s="201"/>
      <c r="AF25" t="s">
        <v>139</v>
      </c>
      <c r="AJ25" s="26">
        <f>Ratios!F22</f>
        <v>0.875</v>
      </c>
      <c r="AK25" s="26">
        <f>Ratios!G22</f>
        <v>8.1910139165009976</v>
      </c>
      <c r="AL25" s="26">
        <f>Ratios!H22</f>
        <v>3.097355882352943</v>
      </c>
      <c r="AM25" s="26">
        <f>Ratios!I22</f>
        <v>2.0213991987596907</v>
      </c>
      <c r="AN25" s="26">
        <f>Ratios!J22</f>
        <v>3.4699594150527804</v>
      </c>
      <c r="AO25" s="26">
        <f>Ratios!K22</f>
        <v>2.8732951719178215</v>
      </c>
    </row>
    <row r="26" spans="2:41" x14ac:dyDescent="0.3">
      <c r="B26" s="201"/>
    </row>
    <row r="27" spans="2:41" x14ac:dyDescent="0.3">
      <c r="B27" s="201"/>
    </row>
    <row r="28" spans="2:41" x14ac:dyDescent="0.3">
      <c r="B28" s="201"/>
    </row>
    <row r="29" spans="2:41" x14ac:dyDescent="0.3">
      <c r="B29" s="201"/>
    </row>
    <row r="30" spans="2:41" x14ac:dyDescent="0.3">
      <c r="B30" s="201"/>
    </row>
    <row r="31" spans="2:41" x14ac:dyDescent="0.3">
      <c r="B31" s="201"/>
    </row>
    <row r="32" spans="2:41" x14ac:dyDescent="0.3">
      <c r="B32" s="201"/>
    </row>
    <row r="39" spans="25:25" x14ac:dyDescent="0.3">
      <c r="Y39" s="76"/>
    </row>
    <row r="40" spans="25:25" x14ac:dyDescent="0.3">
      <c r="Y40" s="76"/>
    </row>
  </sheetData>
  <mergeCells count="3">
    <mergeCell ref="B4:B12"/>
    <mergeCell ref="B14:B22"/>
    <mergeCell ref="B24:B32"/>
  </mergeCells>
  <conditionalFormatting sqref="Y2">
    <cfRule type="cellIs" dxfId="35" priority="1" operator="notEqual">
      <formula>0</formula>
    </cfRule>
    <cfRule type="cellIs" dxfId="34" priority="2" operator="equal">
      <formula>0</formula>
    </cfRule>
  </conditionalFormatting>
  <pageMargins left="0.7" right="0.7" top="0.75" bottom="0.75" header="0.3" footer="0.3"/>
  <pageSetup paperSize="9" scale="91"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33"/>
  <sheetViews>
    <sheetView showGridLines="0" zoomScale="90" zoomScaleNormal="90" workbookViewId="0">
      <pane ySplit="5" topLeftCell="A6" activePane="bottomLeft" state="frozen"/>
      <selection activeCell="B2" sqref="B2"/>
      <selection pane="bottomLeft" activeCell="A6" sqref="A6"/>
    </sheetView>
  </sheetViews>
  <sheetFormatPr defaultRowHeight="14.4" x14ac:dyDescent="0.3"/>
  <cols>
    <col min="1" max="1" width="2.21875" customWidth="1"/>
    <col min="2" max="2" width="25.44140625" customWidth="1"/>
    <col min="3" max="4" width="3.5546875" customWidth="1"/>
    <col min="12" max="15" width="9.109375" style="4"/>
  </cols>
  <sheetData>
    <row r="1" spans="2:15" x14ac:dyDescent="0.3">
      <c r="K1" s="32" t="s">
        <v>28</v>
      </c>
    </row>
    <row r="2" spans="2:15" ht="15.6" x14ac:dyDescent="0.3">
      <c r="B2" s="31" t="s">
        <v>31</v>
      </c>
      <c r="C2" s="38"/>
      <c r="D2" s="38"/>
      <c r="E2" s="39"/>
      <c r="F2" s="16"/>
      <c r="G2" s="16"/>
      <c r="H2" s="16"/>
      <c r="I2" s="16"/>
      <c r="J2" s="16"/>
      <c r="M2" s="25" t="s">
        <v>390</v>
      </c>
      <c r="N2" s="25"/>
      <c r="O2" s="169">
        <f>ErrorChecks!B5</f>
        <v>0</v>
      </c>
    </row>
    <row r="3" spans="2:15" x14ac:dyDescent="0.3">
      <c r="B3" s="16"/>
      <c r="C3" s="16"/>
      <c r="D3" s="16"/>
      <c r="E3" s="14"/>
      <c r="F3" s="14"/>
      <c r="G3" s="14"/>
      <c r="H3" s="14"/>
      <c r="I3" s="14"/>
      <c r="J3" s="14"/>
      <c r="K3" s="40"/>
    </row>
    <row r="4" spans="2:15" x14ac:dyDescent="0.3">
      <c r="B4" s="37" t="s">
        <v>362</v>
      </c>
      <c r="C4" s="3"/>
      <c r="D4" s="3"/>
    </row>
    <row r="5" spans="2:15" s="44" customFormat="1" ht="13.8" x14ac:dyDescent="0.3">
      <c r="B5" s="126"/>
      <c r="C5" s="127"/>
      <c r="D5" s="126"/>
      <c r="E5" s="192" t="str">
        <f>'1. Realisatie RR en BS'!E9</f>
        <v>R 2024</v>
      </c>
      <c r="F5" s="192" t="str">
        <f>'1. Realisatie RR en BS'!F9</f>
        <v>R 2025</v>
      </c>
      <c r="G5" s="192" t="str">
        <f>'1. Realisatie RR en BS'!G9</f>
        <v>P 2026</v>
      </c>
      <c r="H5" s="192" t="str">
        <f>'1. Realisatie RR en BS'!H9</f>
        <v>P 2027</v>
      </c>
      <c r="I5" s="192" t="str">
        <f>'1. Realisatie RR en BS'!I9</f>
        <v>P 2028</v>
      </c>
      <c r="J5" s="192" t="str">
        <f>'1. Realisatie RR en BS'!J9</f>
        <v>P 2029</v>
      </c>
      <c r="K5" s="193" t="str">
        <f>'1. Realisatie RR en BS'!K9</f>
        <v>P 2030</v>
      </c>
      <c r="L5" s="57"/>
      <c r="M5" s="57"/>
      <c r="N5" s="57"/>
      <c r="O5" s="57"/>
    </row>
    <row r="6" spans="2:15" s="42" customFormat="1" ht="13.8" x14ac:dyDescent="0.3">
      <c r="E6" s="138"/>
      <c r="F6" s="138"/>
      <c r="G6" s="138"/>
      <c r="H6" s="138"/>
      <c r="I6" s="138"/>
      <c r="J6" s="138"/>
      <c r="K6" s="138"/>
    </row>
    <row r="7" spans="2:15" s="42" customFormat="1" ht="13.8" x14ac:dyDescent="0.3">
      <c r="B7" s="42" t="s">
        <v>226</v>
      </c>
      <c r="E7" s="141">
        <f>'2. Prognose RR'!E11+'2. Prognose RR'!E17</f>
        <v>523</v>
      </c>
      <c r="F7" s="141">
        <f>'2. Prognose RR'!F11+'2. Prognose RR'!F17</f>
        <v>479</v>
      </c>
      <c r="G7" s="141">
        <f>'2. Prognose RR'!G11+'2. Prognose RR'!G17</f>
        <v>518.58000000000004</v>
      </c>
      <c r="H7" s="141">
        <f>'2. Prognose RR'!H11+'2. Prognose RR'!H17</f>
        <v>537.88680000000011</v>
      </c>
      <c r="I7" s="141">
        <f>'2. Prognose RR'!I11+'2. Prognose RR'!I17</f>
        <v>588.97044000000005</v>
      </c>
      <c r="J7" s="141">
        <f>'2. Prognose RR'!J11+'2. Prognose RR'!J17</f>
        <v>641.88227087999996</v>
      </c>
      <c r="K7" s="141">
        <f>'2. Prognose RR'!K11+'2. Prognose RR'!K17</f>
        <v>654.71991629759998</v>
      </c>
    </row>
    <row r="8" spans="2:15" s="42" customFormat="1" ht="13.8" x14ac:dyDescent="0.3">
      <c r="B8" s="42" t="s">
        <v>349</v>
      </c>
      <c r="E8" s="141">
        <f>'2. Prognose RR'!E24</f>
        <v>-300</v>
      </c>
      <c r="F8" s="141">
        <f>'2. Prognose RR'!F24</f>
        <v>-320</v>
      </c>
      <c r="G8" s="141">
        <f>'2. Prognose RR'!G24</f>
        <v>-279.072</v>
      </c>
      <c r="H8" s="141">
        <f>'2. Prognose RR'!H24</f>
        <v>-308.37456000000003</v>
      </c>
      <c r="I8" s="141">
        <f>'2. Prognose RR'!I24</f>
        <v>-338.73759360000003</v>
      </c>
      <c r="J8" s="141">
        <f>'2. Prognose RR'!J24</f>
        <v>-370.19179872000001</v>
      </c>
      <c r="K8" s="141">
        <f>'2. Prognose RR'!K24</f>
        <v>-377.59563469440002</v>
      </c>
    </row>
    <row r="9" spans="2:15" s="44" customFormat="1" ht="13.8" x14ac:dyDescent="0.3">
      <c r="B9" s="44" t="s">
        <v>351</v>
      </c>
      <c r="E9" s="181">
        <f t="shared" ref="E9:K9" si="0">SUM(E7:E8)</f>
        <v>223</v>
      </c>
      <c r="F9" s="181">
        <f t="shared" si="0"/>
        <v>159</v>
      </c>
      <c r="G9" s="181">
        <f t="shared" si="0"/>
        <v>239.50800000000004</v>
      </c>
      <c r="H9" s="181">
        <f t="shared" si="0"/>
        <v>229.51224000000008</v>
      </c>
      <c r="I9" s="181">
        <f t="shared" si="0"/>
        <v>250.23284640000003</v>
      </c>
      <c r="J9" s="181">
        <f t="shared" si="0"/>
        <v>271.69047215999996</v>
      </c>
      <c r="K9" s="181">
        <f t="shared" si="0"/>
        <v>277.12428160319996</v>
      </c>
    </row>
    <row r="10" spans="2:15" s="42" customFormat="1" ht="13.8" x14ac:dyDescent="0.3">
      <c r="E10" s="141"/>
      <c r="F10" s="141"/>
      <c r="G10" s="141"/>
      <c r="H10" s="141"/>
      <c r="I10" s="141"/>
      <c r="J10" s="141"/>
      <c r="K10" s="141"/>
    </row>
    <row r="11" spans="2:15" s="42" customFormat="1" ht="13.8" x14ac:dyDescent="0.3">
      <c r="B11" s="42" t="s">
        <v>303</v>
      </c>
      <c r="E11" s="141">
        <f>'2. Prognose RR'!E33</f>
        <v>-75</v>
      </c>
      <c r="F11" s="141">
        <f>'2. Prognose RR'!F33</f>
        <v>-78</v>
      </c>
      <c r="G11" s="141">
        <f>'2. Prognose RR'!G33</f>
        <v>-74.419200000000004</v>
      </c>
      <c r="H11" s="141">
        <f>'2. Prognose RR'!H33</f>
        <v>-102.23321600000001</v>
      </c>
      <c r="I11" s="141">
        <f>'2. Prognose RR'!I33</f>
        <v>-90.330024960000017</v>
      </c>
      <c r="J11" s="141">
        <f>'2. Prognose RR'!J33</f>
        <v>-98.717812992000006</v>
      </c>
      <c r="K11" s="141">
        <f>'2. Prognose RR'!K33</f>
        <v>-100.69216925184001</v>
      </c>
    </row>
    <row r="12" spans="2:15" s="42" customFormat="1" ht="13.8" x14ac:dyDescent="0.3">
      <c r="B12" s="42" t="s">
        <v>304</v>
      </c>
      <c r="E12" s="141">
        <f>'2. Prognose RR'!E38</f>
        <v>-35</v>
      </c>
      <c r="F12" s="141">
        <f>'2. Prognose RR'!F38</f>
        <v>-46</v>
      </c>
      <c r="G12" s="141">
        <f>'2. Prognose RR'!G38</f>
        <v>-41.486400000000003</v>
      </c>
      <c r="H12" s="141">
        <f>'2. Prognose RR'!H38</f>
        <v>-43.030944000000012</v>
      </c>
      <c r="I12" s="141">
        <f>'2. Prognose RR'!I38</f>
        <v>-62.117635200000002</v>
      </c>
      <c r="J12" s="141">
        <f>'2. Prognose RR'!J38</f>
        <v>-51.350581670399997</v>
      </c>
      <c r="K12" s="141">
        <f>'2. Prognose RR'!K38</f>
        <v>-52.377593303807998</v>
      </c>
    </row>
    <row r="13" spans="2:15" s="44" customFormat="1" ht="13.8" x14ac:dyDescent="0.3">
      <c r="B13" s="44" t="s">
        <v>29</v>
      </c>
      <c r="E13" s="181">
        <f>SUM(E9:E12)</f>
        <v>113</v>
      </c>
      <c r="F13" s="181">
        <f t="shared" ref="F13:K13" si="1">SUM(F9:F12)</f>
        <v>35</v>
      </c>
      <c r="G13" s="181">
        <f t="shared" si="1"/>
        <v>123.60240000000005</v>
      </c>
      <c r="H13" s="181">
        <f t="shared" si="1"/>
        <v>84.248080000000044</v>
      </c>
      <c r="I13" s="181">
        <f t="shared" si="1"/>
        <v>97.78518624000003</v>
      </c>
      <c r="J13" s="181">
        <f t="shared" si="1"/>
        <v>121.62207749759995</v>
      </c>
      <c r="K13" s="181">
        <f t="shared" si="1"/>
        <v>124.05451904755193</v>
      </c>
    </row>
    <row r="14" spans="2:15" s="42" customFormat="1" ht="13.8" x14ac:dyDescent="0.3">
      <c r="E14" s="141"/>
      <c r="F14" s="141"/>
      <c r="G14" s="141"/>
      <c r="H14" s="141"/>
      <c r="I14" s="141"/>
      <c r="J14" s="141"/>
      <c r="K14" s="141"/>
    </row>
    <row r="15" spans="2:15" s="42" customFormat="1" ht="13.8" x14ac:dyDescent="0.3">
      <c r="B15" s="42" t="s">
        <v>305</v>
      </c>
      <c r="E15" s="141">
        <f>'2. Prognose RR'!E42</f>
        <v>-50</v>
      </c>
      <c r="F15" s="141">
        <f>'2. Prognose RR'!F42</f>
        <v>-60</v>
      </c>
      <c r="G15" s="141">
        <f>'2. Prognose RR'!G42</f>
        <v>-19.903794300000001</v>
      </c>
      <c r="H15" s="141">
        <f>'2. Prognose RR'!H42</f>
        <v>-23</v>
      </c>
      <c r="I15" s="141">
        <f>'2. Prognose RR'!I42</f>
        <v>-37</v>
      </c>
      <c r="J15" s="141">
        <f>'2. Prognose RR'!J42</f>
        <v>-40</v>
      </c>
      <c r="K15" s="141">
        <f>'2. Prognose RR'!K42</f>
        <v>-40</v>
      </c>
    </row>
    <row r="16" spans="2:15" s="42" customFormat="1" ht="13.8" x14ac:dyDescent="0.3">
      <c r="B16" s="44" t="s">
        <v>56</v>
      </c>
      <c r="E16" s="181">
        <f>SUM(E13:E15)</f>
        <v>63</v>
      </c>
      <c r="F16" s="181">
        <f t="shared" ref="F16:K16" si="2">SUM(F13:F15)</f>
        <v>-25</v>
      </c>
      <c r="G16" s="181">
        <f t="shared" si="2"/>
        <v>103.69860570000004</v>
      </c>
      <c r="H16" s="181">
        <f t="shared" si="2"/>
        <v>61.248080000000044</v>
      </c>
      <c r="I16" s="181">
        <f t="shared" si="2"/>
        <v>60.78518624000003</v>
      </c>
      <c r="J16" s="181">
        <f t="shared" si="2"/>
        <v>81.622077497599946</v>
      </c>
      <c r="K16" s="181">
        <f t="shared" si="2"/>
        <v>84.054519047551935</v>
      </c>
    </row>
    <row r="17" spans="2:11" s="42" customFormat="1" ht="13.8" x14ac:dyDescent="0.3">
      <c r="E17" s="141"/>
      <c r="F17" s="141"/>
      <c r="G17" s="141"/>
      <c r="H17" s="141"/>
      <c r="I17" s="141"/>
      <c r="J17" s="141"/>
      <c r="K17" s="141"/>
    </row>
    <row r="18" spans="2:11" s="42" customFormat="1" ht="13.8" x14ac:dyDescent="0.3">
      <c r="B18" s="42" t="s">
        <v>148</v>
      </c>
      <c r="E18" s="141">
        <f>'2. Prognose RR'!E48</f>
        <v>25</v>
      </c>
      <c r="F18" s="141">
        <f>'2. Prognose RR'!F48</f>
        <v>12</v>
      </c>
      <c r="G18" s="141">
        <f>'2. Prognose RR'!G48</f>
        <v>0</v>
      </c>
      <c r="H18" s="141">
        <f>'2. Prognose RR'!H48</f>
        <v>40</v>
      </c>
      <c r="I18" s="141">
        <f>'2. Prognose RR'!I48</f>
        <v>0</v>
      </c>
      <c r="J18" s="141">
        <f>'2. Prognose RR'!J48</f>
        <v>0</v>
      </c>
      <c r="K18" s="141">
        <f>'2. Prognose RR'!K48</f>
        <v>0</v>
      </c>
    </row>
    <row r="19" spans="2:11" s="42" customFormat="1" ht="13.8" x14ac:dyDescent="0.3">
      <c r="B19" s="42" t="s">
        <v>39</v>
      </c>
      <c r="E19" s="141">
        <f>'2. Prognose RR'!E50</f>
        <v>0</v>
      </c>
      <c r="F19" s="141">
        <f>'2. Prognose RR'!F50</f>
        <v>40</v>
      </c>
      <c r="G19" s="141">
        <f>'2. Prognose RR'!G50</f>
        <v>0</v>
      </c>
      <c r="H19" s="141">
        <f>'2. Prognose RR'!H50</f>
        <v>4</v>
      </c>
      <c r="I19" s="141">
        <f>'2. Prognose RR'!I50</f>
        <v>-6</v>
      </c>
      <c r="J19" s="141">
        <f>'2. Prognose RR'!J50</f>
        <v>0</v>
      </c>
      <c r="K19" s="141">
        <f>'2. Prognose RR'!K50</f>
        <v>0</v>
      </c>
    </row>
    <row r="20" spans="2:11" s="42" customFormat="1" ht="13.8" x14ac:dyDescent="0.3">
      <c r="B20" s="42" t="s">
        <v>47</v>
      </c>
      <c r="E20" s="141">
        <f>'2. Prognose RR'!E52</f>
        <v>12</v>
      </c>
      <c r="F20" s="141">
        <f>'2. Prognose RR'!F52</f>
        <v>12</v>
      </c>
      <c r="G20" s="141">
        <f>'2. Prognose RR'!G52</f>
        <v>10</v>
      </c>
      <c r="H20" s="141">
        <f>'2. Prognose RR'!H52</f>
        <v>10</v>
      </c>
      <c r="I20" s="141">
        <f>'2. Prognose RR'!I52</f>
        <v>10</v>
      </c>
      <c r="J20" s="141">
        <f>'2. Prognose RR'!J52</f>
        <v>10</v>
      </c>
      <c r="K20" s="141">
        <f>'2. Prognose RR'!K52</f>
        <v>10</v>
      </c>
    </row>
    <row r="21" spans="2:11" s="42" customFormat="1" ht="13.8" x14ac:dyDescent="0.3">
      <c r="B21" s="42" t="s">
        <v>48</v>
      </c>
      <c r="E21" s="141">
        <f>'2. Prognose RR'!E56</f>
        <v>-25</v>
      </c>
      <c r="F21" s="141">
        <f>'2. Prognose RR'!F56</f>
        <v>-30</v>
      </c>
      <c r="G21" s="141">
        <f>'2. Prognose RR'!G56</f>
        <v>-5.0900000000000007</v>
      </c>
      <c r="H21" s="141">
        <f>'2. Prognose RR'!H56</f>
        <v>-7.2</v>
      </c>
      <c r="I21" s="141">
        <f>'2. Prognose RR'!I56</f>
        <v>-8.375</v>
      </c>
      <c r="J21" s="141">
        <f>'2. Prognose RR'!J56</f>
        <v>-5.0500000000000007</v>
      </c>
      <c r="K21" s="141">
        <f>'2. Prognose RR'!K56</f>
        <v>-3.1749999999999998</v>
      </c>
    </row>
    <row r="22" spans="2:11" s="42" customFormat="1" ht="13.8" x14ac:dyDescent="0.3">
      <c r="B22" s="44" t="s">
        <v>57</v>
      </c>
      <c r="E22" s="181">
        <f>SUM(E16:E21)</f>
        <v>75</v>
      </c>
      <c r="F22" s="181">
        <f t="shared" ref="F22:K22" si="3">SUM(F16:F21)</f>
        <v>9</v>
      </c>
      <c r="G22" s="181">
        <f t="shared" si="3"/>
        <v>108.60860570000004</v>
      </c>
      <c r="H22" s="181">
        <f t="shared" si="3"/>
        <v>108.04808000000004</v>
      </c>
      <c r="I22" s="181">
        <f t="shared" si="3"/>
        <v>56.41018624000003</v>
      </c>
      <c r="J22" s="181">
        <f t="shared" si="3"/>
        <v>86.572077497599949</v>
      </c>
      <c r="K22" s="181">
        <f t="shared" si="3"/>
        <v>90.879519047551938</v>
      </c>
    </row>
    <row r="23" spans="2:11" s="42" customFormat="1" ht="13.8" x14ac:dyDescent="0.3">
      <c r="E23" s="141"/>
      <c r="F23" s="141"/>
      <c r="G23" s="141"/>
      <c r="H23" s="141"/>
      <c r="I23" s="141"/>
      <c r="J23" s="141"/>
      <c r="K23" s="141"/>
    </row>
    <row r="24" spans="2:11" s="42" customFormat="1" ht="13.8" x14ac:dyDescent="0.3">
      <c r="B24" s="42" t="s">
        <v>5</v>
      </c>
      <c r="E24" s="141">
        <f>'2. Prognose RR'!E62</f>
        <v>-20</v>
      </c>
      <c r="F24" s="141">
        <f>'2. Prognose RR'!F62</f>
        <v>-3</v>
      </c>
      <c r="G24" s="141">
        <f>'2. Prognose RR'!G62</f>
        <v>-27.15215142500001</v>
      </c>
      <c r="H24" s="141">
        <f>'2. Prognose RR'!H62</f>
        <v>-27.01202000000001</v>
      </c>
      <c r="I24" s="141">
        <f>'2. Prognose RR'!I62</f>
        <v>-14.102546560000008</v>
      </c>
      <c r="J24" s="141">
        <f>'2. Prognose RR'!J62</f>
        <v>-21.643019374399987</v>
      </c>
      <c r="K24" s="141">
        <f>'2. Prognose RR'!K62</f>
        <v>-22.719879761887984</v>
      </c>
    </row>
    <row r="25" spans="2:11" s="42" customFormat="1" thickBot="1" x14ac:dyDescent="0.35">
      <c r="B25" s="44" t="s">
        <v>152</v>
      </c>
      <c r="E25" s="194">
        <f>SUM(E22:E24)</f>
        <v>55</v>
      </c>
      <c r="F25" s="194">
        <f t="shared" ref="F25:K25" si="4">SUM(F22:F24)</f>
        <v>6</v>
      </c>
      <c r="G25" s="194">
        <f t="shared" si="4"/>
        <v>81.456454275000027</v>
      </c>
      <c r="H25" s="194">
        <f t="shared" si="4"/>
        <v>81.036060000000035</v>
      </c>
      <c r="I25" s="194">
        <f t="shared" si="4"/>
        <v>42.307639680000023</v>
      </c>
      <c r="J25" s="194">
        <f t="shared" si="4"/>
        <v>64.929058123199965</v>
      </c>
      <c r="K25" s="194">
        <f t="shared" si="4"/>
        <v>68.159639285663957</v>
      </c>
    </row>
    <row r="26" spans="2:11" s="42" customFormat="1" thickTop="1" x14ac:dyDescent="0.3">
      <c r="E26" s="141"/>
      <c r="F26" s="141"/>
      <c r="G26" s="141"/>
      <c r="H26" s="141"/>
      <c r="I26" s="141"/>
      <c r="J26" s="141"/>
      <c r="K26" s="141"/>
    </row>
    <row r="27" spans="2:11" s="42" customFormat="1" ht="13.8" x14ac:dyDescent="0.3">
      <c r="B27" s="42" t="s">
        <v>55</v>
      </c>
      <c r="E27" s="141">
        <f>-'2. Prognose RR'!E67</f>
        <v>20</v>
      </c>
      <c r="F27" s="141">
        <f>-'2. Prognose RR'!F67</f>
        <v>5</v>
      </c>
      <c r="G27" s="141">
        <f>-'2. Prognose RR'!G67</f>
        <v>10</v>
      </c>
      <c r="H27" s="141">
        <f>-'2. Prognose RR'!H67</f>
        <v>10</v>
      </c>
      <c r="I27" s="141">
        <f>-'2. Prognose RR'!I67</f>
        <v>15</v>
      </c>
      <c r="J27" s="141">
        <f>-'2. Prognose RR'!J67</f>
        <v>20</v>
      </c>
      <c r="K27" s="141">
        <f>-'2. Prognose RR'!K67</f>
        <v>20</v>
      </c>
    </row>
    <row r="28" spans="2:11" s="42" customFormat="1" ht="13.8" x14ac:dyDescent="0.3">
      <c r="E28" s="141"/>
      <c r="F28" s="141"/>
      <c r="G28" s="141"/>
      <c r="H28" s="141"/>
      <c r="I28" s="141"/>
      <c r="J28" s="141"/>
      <c r="K28" s="141"/>
    </row>
    <row r="29" spans="2:11" s="47" customFormat="1" ht="13.8" x14ac:dyDescent="0.3">
      <c r="B29" s="47" t="s">
        <v>382</v>
      </c>
      <c r="E29" s="86">
        <f>E9/(E7)</f>
        <v>0.42638623326959846</v>
      </c>
      <c r="F29" s="86">
        <f t="shared" ref="F29:K29" si="5">F9/(F7)</f>
        <v>0.33194154488517746</v>
      </c>
      <c r="G29" s="86">
        <f t="shared" si="5"/>
        <v>0.46185352308226313</v>
      </c>
      <c r="H29" s="86">
        <f t="shared" si="5"/>
        <v>0.42669245647969056</v>
      </c>
      <c r="I29" s="86">
        <f t="shared" si="5"/>
        <v>0.42486486486486486</v>
      </c>
      <c r="J29" s="86">
        <f t="shared" si="5"/>
        <v>0.42327150084317028</v>
      </c>
      <c r="K29" s="86">
        <f t="shared" si="5"/>
        <v>0.42327150084317028</v>
      </c>
    </row>
    <row r="30" spans="2:11" s="47" customFormat="1" ht="13.8" x14ac:dyDescent="0.3">
      <c r="B30" s="47" t="s">
        <v>58</v>
      </c>
      <c r="E30" s="86">
        <f>E13/(E7)</f>
        <v>0.21606118546845124</v>
      </c>
      <c r="F30" s="86">
        <f t="shared" ref="F30:K30" si="6">F13/(F7)</f>
        <v>7.3068893528183715E-2</v>
      </c>
      <c r="G30" s="86">
        <f t="shared" si="6"/>
        <v>0.23834779590419999</v>
      </c>
      <c r="H30" s="86">
        <f t="shared" si="6"/>
        <v>0.15662790014553254</v>
      </c>
      <c r="I30" s="86">
        <f t="shared" si="6"/>
        <v>0.16602732429152137</v>
      </c>
      <c r="J30" s="86">
        <f t="shared" si="6"/>
        <v>0.189477234401349</v>
      </c>
      <c r="K30" s="86">
        <f t="shared" si="6"/>
        <v>0.18947723440134898</v>
      </c>
    </row>
    <row r="31" spans="2:11" s="47" customFormat="1" ht="13.8" x14ac:dyDescent="0.3">
      <c r="B31" s="47" t="s">
        <v>151</v>
      </c>
      <c r="E31" s="86">
        <f>E16/(E7)</f>
        <v>0.12045889101338432</v>
      </c>
      <c r="F31" s="86">
        <f t="shared" ref="F31:K31" si="7">F16/(F7)</f>
        <v>-5.2192066805845511E-2</v>
      </c>
      <c r="G31" s="86">
        <f t="shared" si="7"/>
        <v>0.19996645782714342</v>
      </c>
      <c r="H31" s="86">
        <f t="shared" si="7"/>
        <v>0.11386797370747903</v>
      </c>
      <c r="I31" s="86">
        <f t="shared" si="7"/>
        <v>0.1032058353217184</v>
      </c>
      <c r="J31" s="86">
        <f t="shared" si="7"/>
        <v>0.12716051089197197</v>
      </c>
      <c r="K31" s="86">
        <f t="shared" si="7"/>
        <v>0.12838240743137153</v>
      </c>
    </row>
    <row r="32" spans="2:11" s="47" customFormat="1" ht="13.8" x14ac:dyDescent="0.3">
      <c r="B32" s="47" t="s">
        <v>60</v>
      </c>
      <c r="E32" s="86">
        <f>E25/(E7)</f>
        <v>0.10516252390057361</v>
      </c>
      <c r="F32" s="86">
        <f t="shared" ref="F32:K32" si="8">F25/(F7)</f>
        <v>1.2526096033402923E-2</v>
      </c>
      <c r="G32" s="86">
        <f t="shared" si="8"/>
        <v>0.1570759656658568</v>
      </c>
      <c r="H32" s="86">
        <f t="shared" si="8"/>
        <v>0.15065634627955179</v>
      </c>
      <c r="I32" s="86">
        <f t="shared" si="8"/>
        <v>7.1833214040419452E-2</v>
      </c>
      <c r="J32" s="86">
        <f t="shared" si="8"/>
        <v>0.10115415406969305</v>
      </c>
      <c r="K32" s="86">
        <f t="shared" si="8"/>
        <v>0.10410503421234295</v>
      </c>
    </row>
    <row r="33" spans="5:11" s="42" customFormat="1" ht="13.8" x14ac:dyDescent="0.3">
      <c r="E33" s="49"/>
      <c r="F33" s="49"/>
      <c r="G33" s="49"/>
      <c r="H33" s="49"/>
      <c r="I33" s="49"/>
      <c r="J33" s="49"/>
      <c r="K33" s="49"/>
    </row>
  </sheetData>
  <conditionalFormatting sqref="O2">
    <cfRule type="cellIs" dxfId="33" priority="1" operator="notEqual">
      <formula>0</formula>
    </cfRule>
    <cfRule type="cellIs" dxfId="32" priority="2" operator="equal">
      <formula>0</formula>
    </cfRule>
  </conditionalFormatting>
  <pageMargins left="0.7" right="0.7" top="0.75" bottom="0.75" header="0.3" footer="0.3"/>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41"/>
  <sheetViews>
    <sheetView showGridLines="0" zoomScale="90" zoomScaleNormal="90" workbookViewId="0">
      <pane ySplit="5" topLeftCell="A6" activePane="bottomLeft" state="frozen"/>
      <selection activeCell="B2" sqref="B2"/>
      <selection pane="bottomLeft" activeCell="A6" sqref="A6"/>
    </sheetView>
  </sheetViews>
  <sheetFormatPr defaultRowHeight="14.4" x14ac:dyDescent="0.3"/>
  <cols>
    <col min="1" max="1" width="2.21875" customWidth="1"/>
    <col min="2" max="2" width="28.21875" customWidth="1"/>
    <col min="3" max="4" width="2.6640625" customWidth="1"/>
    <col min="12" max="15" width="9.109375" style="4"/>
  </cols>
  <sheetData>
    <row r="1" spans="2:16" x14ac:dyDescent="0.3">
      <c r="K1" s="32" t="s">
        <v>28</v>
      </c>
    </row>
    <row r="2" spans="2:16" ht="15.6" x14ac:dyDescent="0.3">
      <c r="B2" s="31" t="s">
        <v>6</v>
      </c>
      <c r="C2" s="16"/>
      <c r="D2" s="16"/>
      <c r="E2" s="16"/>
      <c r="F2" s="16"/>
      <c r="G2" s="16"/>
      <c r="H2" s="16"/>
      <c r="I2" s="16"/>
      <c r="J2" s="16"/>
      <c r="K2" s="32"/>
      <c r="M2" s="25" t="s">
        <v>390</v>
      </c>
      <c r="N2" s="25"/>
      <c r="O2" s="169">
        <f>ErrorChecks!B5</f>
        <v>0</v>
      </c>
    </row>
    <row r="3" spans="2:16" x14ac:dyDescent="0.3">
      <c r="B3" s="16"/>
      <c r="C3" s="16"/>
      <c r="D3" s="16"/>
    </row>
    <row r="4" spans="2:16" s="9" customFormat="1" ht="12" x14ac:dyDescent="0.25">
      <c r="B4" s="37" t="s">
        <v>362</v>
      </c>
      <c r="C4" s="11"/>
      <c r="D4" s="11"/>
      <c r="E4" s="83" t="str">
        <f>IF(E33=0,"OK","CHECK")</f>
        <v>OK</v>
      </c>
      <c r="F4" s="83" t="str">
        <f t="shared" ref="F4:K4" si="0">IF(F33=0,"OK","CHECK")</f>
        <v>OK</v>
      </c>
      <c r="G4" s="83" t="str">
        <f t="shared" si="0"/>
        <v>OK</v>
      </c>
      <c r="H4" s="83" t="str">
        <f t="shared" si="0"/>
        <v>OK</v>
      </c>
      <c r="I4" s="83" t="str">
        <f t="shared" si="0"/>
        <v>OK</v>
      </c>
      <c r="J4" s="83" t="str">
        <f t="shared" si="0"/>
        <v>OK</v>
      </c>
      <c r="K4" s="83" t="str">
        <f t="shared" si="0"/>
        <v>OK</v>
      </c>
      <c r="L4" s="84"/>
      <c r="M4" s="84"/>
      <c r="N4" s="84"/>
      <c r="O4" s="84"/>
    </row>
    <row r="5" spans="2:16" s="44" customFormat="1" ht="13.8" x14ac:dyDescent="0.3">
      <c r="B5" s="126"/>
      <c r="C5" s="127"/>
      <c r="D5" s="126"/>
      <c r="E5" s="127" t="str">
        <f>RR!E5</f>
        <v>R 2024</v>
      </c>
      <c r="F5" s="127" t="str">
        <f>RR!F5</f>
        <v>R 2025</v>
      </c>
      <c r="G5" s="127" t="str">
        <f>RR!G5</f>
        <v>P 2026</v>
      </c>
      <c r="H5" s="127" t="str">
        <f>RR!H5</f>
        <v>P 2027</v>
      </c>
      <c r="I5" s="127" t="str">
        <f>RR!I5</f>
        <v>P 2028</v>
      </c>
      <c r="J5" s="127" t="str">
        <f>RR!J5</f>
        <v>P 2029</v>
      </c>
      <c r="K5" s="127" t="str">
        <f>RR!K5</f>
        <v>P 2030</v>
      </c>
      <c r="L5" s="52"/>
      <c r="M5" s="52"/>
      <c r="N5" s="52"/>
      <c r="O5" s="52"/>
      <c r="P5" s="52"/>
    </row>
    <row r="6" spans="2:16" s="42" customFormat="1" ht="13.8" x14ac:dyDescent="0.3">
      <c r="E6" s="138"/>
      <c r="F6" s="138"/>
      <c r="G6" s="138"/>
      <c r="H6" s="138"/>
      <c r="I6" s="138"/>
      <c r="J6" s="138"/>
      <c r="K6" s="138"/>
    </row>
    <row r="7" spans="2:16" s="42" customFormat="1" ht="13.8" x14ac:dyDescent="0.3">
      <c r="B7" s="52" t="s">
        <v>7</v>
      </c>
      <c r="C7" s="52"/>
      <c r="D7" s="52"/>
      <c r="E7" s="146">
        <f>'3. Prognose BS'!E26</f>
        <v>450</v>
      </c>
      <c r="F7" s="146">
        <f>'3. Prognose BS'!F26</f>
        <v>470</v>
      </c>
      <c r="G7" s="146">
        <f>'3. Prognose BS'!G26</f>
        <v>490.09620569999998</v>
      </c>
      <c r="H7" s="146">
        <f>'3. Prognose BS'!H26</f>
        <v>497.09620569999993</v>
      </c>
      <c r="I7" s="146">
        <f>'3. Prognose BS'!I26</f>
        <v>610.09620569999993</v>
      </c>
      <c r="J7" s="146">
        <f>'3. Prognose BS'!J26</f>
        <v>610.09620569999993</v>
      </c>
      <c r="K7" s="146">
        <f>'3. Prognose BS'!K26</f>
        <v>610.09620569999993</v>
      </c>
      <c r="L7" s="52"/>
      <c r="M7" s="52"/>
      <c r="N7" s="52"/>
      <c r="O7" s="52"/>
    </row>
    <row r="8" spans="2:16" s="44" customFormat="1" ht="13.8" x14ac:dyDescent="0.3">
      <c r="B8" s="53" t="s">
        <v>8</v>
      </c>
      <c r="C8" s="53"/>
      <c r="D8" s="53"/>
      <c r="E8" s="195">
        <f t="shared" ref="E8:K8" si="1">SUM(E7:E7)</f>
        <v>450</v>
      </c>
      <c r="F8" s="195">
        <f t="shared" si="1"/>
        <v>470</v>
      </c>
      <c r="G8" s="195">
        <f t="shared" si="1"/>
        <v>490.09620569999998</v>
      </c>
      <c r="H8" s="195">
        <f t="shared" si="1"/>
        <v>497.09620569999993</v>
      </c>
      <c r="I8" s="195">
        <f t="shared" si="1"/>
        <v>610.09620569999993</v>
      </c>
      <c r="J8" s="195">
        <f t="shared" si="1"/>
        <v>610.09620569999993</v>
      </c>
      <c r="K8" s="195">
        <f t="shared" si="1"/>
        <v>610.09620569999993</v>
      </c>
      <c r="L8" s="53"/>
      <c r="M8" s="53"/>
      <c r="N8" s="53"/>
      <c r="O8" s="53"/>
    </row>
    <row r="9" spans="2:16" s="42" customFormat="1" ht="13.8" x14ac:dyDescent="0.3">
      <c r="B9" s="52"/>
      <c r="C9" s="52"/>
      <c r="D9" s="52"/>
      <c r="E9" s="146"/>
      <c r="F9" s="146"/>
      <c r="G9" s="146"/>
      <c r="H9" s="146"/>
      <c r="I9" s="146"/>
      <c r="J9" s="146"/>
      <c r="K9" s="146"/>
      <c r="L9" s="52"/>
      <c r="M9" s="52"/>
      <c r="N9" s="52"/>
      <c r="O9" s="52"/>
    </row>
    <row r="10" spans="2:16" s="42" customFormat="1" ht="13.8" x14ac:dyDescent="0.3">
      <c r="B10" s="52" t="s">
        <v>9</v>
      </c>
      <c r="C10" s="52"/>
      <c r="D10" s="52"/>
      <c r="E10" s="146">
        <f>'3. Prognose BS'!E41</f>
        <v>25</v>
      </c>
      <c r="F10" s="146">
        <f>'3. Prognose BS'!F41</f>
        <v>10</v>
      </c>
      <c r="G10" s="146">
        <f>'3. Prognose BS'!G41</f>
        <v>5.3520657534246574</v>
      </c>
      <c r="H10" s="146">
        <f>'3. Prognose BS'!H41</f>
        <v>5.9140326575342463</v>
      </c>
      <c r="I10" s="146">
        <f>'3. Prognose BS'!I41</f>
        <v>6.4963374115068504</v>
      </c>
      <c r="J10" s="146">
        <f>'3. Prognose BS'!J41</f>
        <v>7.0995687425753422</v>
      </c>
      <c r="K10" s="146">
        <f>'3. Prognose BS'!K41</f>
        <v>7.2415601174268494</v>
      </c>
      <c r="L10" s="52"/>
      <c r="M10" s="52"/>
      <c r="N10" s="52"/>
      <c r="O10" s="52"/>
    </row>
    <row r="11" spans="2:16" s="42" customFormat="1" ht="13.8" x14ac:dyDescent="0.3">
      <c r="B11" s="52" t="s">
        <v>24</v>
      </c>
      <c r="C11" s="52"/>
      <c r="D11" s="52"/>
      <c r="E11" s="146">
        <f>'3. Prognose BS'!E44</f>
        <v>60</v>
      </c>
      <c r="F11" s="146">
        <f>'3. Prognose BS'!F44</f>
        <v>61</v>
      </c>
      <c r="G11" s="146">
        <f>'3. Prognose BS'!G44</f>
        <v>38.229041095890409</v>
      </c>
      <c r="H11" s="146">
        <f>'3. Prognose BS'!H44</f>
        <v>42.243090410958914</v>
      </c>
      <c r="I11" s="146">
        <f>'3. Prognose BS'!I44</f>
        <v>46.402410082191786</v>
      </c>
      <c r="J11" s="146">
        <f>'3. Prognose BS'!J44</f>
        <v>50.71120530410959</v>
      </c>
      <c r="K11" s="146">
        <f>'3. Prognose BS'!K44</f>
        <v>51.725429410191786</v>
      </c>
      <c r="L11" s="52"/>
      <c r="M11" s="52"/>
      <c r="N11" s="52"/>
      <c r="O11" s="52"/>
    </row>
    <row r="12" spans="2:16" s="42" customFormat="1" ht="13.8" x14ac:dyDescent="0.3">
      <c r="B12" s="52" t="s">
        <v>33</v>
      </c>
      <c r="C12" s="52"/>
      <c r="D12" s="52"/>
      <c r="E12" s="146">
        <f>'3. Prognose BS'!E47</f>
        <v>5</v>
      </c>
      <c r="F12" s="146">
        <f>'3. Prognose BS'!F47</f>
        <v>6</v>
      </c>
      <c r="G12" s="146">
        <f>'3. Prognose BS'!G47</f>
        <v>2.7907199999999999</v>
      </c>
      <c r="H12" s="146">
        <f>'3. Prognose BS'!H47</f>
        <v>3.0837456000000003</v>
      </c>
      <c r="I12" s="146">
        <f>'3. Prognose BS'!I47</f>
        <v>3.3873759360000006</v>
      </c>
      <c r="J12" s="146">
        <f>'3. Prognose BS'!J47</f>
        <v>3.7019179871999999</v>
      </c>
      <c r="K12" s="146">
        <f>'3. Prognose BS'!K47</f>
        <v>3.7759563469440001</v>
      </c>
      <c r="L12" s="52"/>
      <c r="M12" s="52"/>
      <c r="N12" s="52"/>
      <c r="O12" s="52"/>
    </row>
    <row r="13" spans="2:16" s="42" customFormat="1" ht="13.8" x14ac:dyDescent="0.3">
      <c r="B13" s="52" t="s">
        <v>10</v>
      </c>
      <c r="C13" s="52"/>
      <c r="D13" s="52"/>
      <c r="E13" s="146">
        <f>'3. Prognose BS'!E49</f>
        <v>104</v>
      </c>
      <c r="F13" s="146">
        <f>'3. Prognose BS'!F49</f>
        <v>79</v>
      </c>
      <c r="G13" s="146">
        <f>'3. Prognose BS'!G49</f>
        <v>135.34815871198646</v>
      </c>
      <c r="H13" s="146">
        <f>'3. Prognose BS'!H49</f>
        <v>309.59294927637006</v>
      </c>
      <c r="I13" s="146">
        <f>'3. Prognose BS'!I49</f>
        <v>159.11687357927406</v>
      </c>
      <c r="J13" s="146">
        <f>'3. Prognose BS'!J49</f>
        <v>159.26998905401376</v>
      </c>
      <c r="K13" s="146">
        <f>'3. Prognose BS'!K49</f>
        <v>167.48236799319409</v>
      </c>
      <c r="L13" s="52"/>
      <c r="M13" s="68"/>
      <c r="N13" s="52"/>
      <c r="O13" s="52"/>
    </row>
    <row r="14" spans="2:16" s="44" customFormat="1" ht="13.8" x14ac:dyDescent="0.3">
      <c r="B14" s="53" t="s">
        <v>11</v>
      </c>
      <c r="C14" s="53"/>
      <c r="D14" s="53"/>
      <c r="E14" s="195">
        <f t="shared" ref="E14:K14" si="2">SUM(E10:E13)</f>
        <v>194</v>
      </c>
      <c r="F14" s="195">
        <f t="shared" si="2"/>
        <v>156</v>
      </c>
      <c r="G14" s="195">
        <f t="shared" si="2"/>
        <v>181.71998556130151</v>
      </c>
      <c r="H14" s="195">
        <f t="shared" si="2"/>
        <v>360.8338179448632</v>
      </c>
      <c r="I14" s="195">
        <f t="shared" si="2"/>
        <v>215.4029970089727</v>
      </c>
      <c r="J14" s="195">
        <f t="shared" si="2"/>
        <v>220.78268108789871</v>
      </c>
      <c r="K14" s="195">
        <f t="shared" si="2"/>
        <v>230.22531386775671</v>
      </c>
      <c r="L14" s="53"/>
      <c r="M14" s="53"/>
      <c r="N14" s="53"/>
      <c r="O14" s="53"/>
    </row>
    <row r="15" spans="2:16" s="44" customFormat="1" ht="13.8" x14ac:dyDescent="0.3">
      <c r="B15" s="53"/>
      <c r="C15" s="53"/>
      <c r="D15" s="53"/>
      <c r="E15" s="171"/>
      <c r="F15" s="171"/>
      <c r="G15" s="171"/>
      <c r="H15" s="171"/>
      <c r="I15" s="171"/>
      <c r="J15" s="171"/>
      <c r="K15" s="171"/>
      <c r="L15" s="53"/>
      <c r="M15" s="53"/>
      <c r="N15" s="53"/>
      <c r="O15" s="53"/>
    </row>
    <row r="16" spans="2:16" s="44" customFormat="1" thickBot="1" x14ac:dyDescent="0.35">
      <c r="B16" s="53" t="s">
        <v>12</v>
      </c>
      <c r="C16" s="53"/>
      <c r="D16" s="53"/>
      <c r="E16" s="194">
        <f t="shared" ref="E16:K16" si="3">E8+E14</f>
        <v>644</v>
      </c>
      <c r="F16" s="194">
        <f t="shared" si="3"/>
        <v>626</v>
      </c>
      <c r="G16" s="194">
        <f t="shared" si="3"/>
        <v>671.81619126130147</v>
      </c>
      <c r="H16" s="194">
        <f t="shared" si="3"/>
        <v>857.93002364486313</v>
      </c>
      <c r="I16" s="194">
        <f t="shared" si="3"/>
        <v>825.49920270897269</v>
      </c>
      <c r="J16" s="194">
        <f t="shared" si="3"/>
        <v>830.87888678789864</v>
      </c>
      <c r="K16" s="194">
        <f t="shared" si="3"/>
        <v>840.3215195677567</v>
      </c>
      <c r="L16" s="53"/>
      <c r="M16" s="53"/>
      <c r="N16" s="53"/>
      <c r="O16" s="53"/>
    </row>
    <row r="17" spans="2:15" s="42" customFormat="1" thickTop="1" x14ac:dyDescent="0.3">
      <c r="B17" s="52"/>
      <c r="C17" s="52"/>
      <c r="D17" s="52"/>
      <c r="E17" s="146"/>
      <c r="F17" s="146"/>
      <c r="G17" s="146"/>
      <c r="H17" s="146"/>
      <c r="I17" s="146"/>
      <c r="J17" s="146"/>
      <c r="K17" s="146"/>
      <c r="L17" s="52"/>
      <c r="M17" s="52"/>
      <c r="N17" s="52"/>
      <c r="O17" s="52"/>
    </row>
    <row r="18" spans="2:15" s="44" customFormat="1" ht="13.8" x14ac:dyDescent="0.3">
      <c r="B18" s="53" t="s">
        <v>13</v>
      </c>
      <c r="C18" s="53"/>
      <c r="D18" s="53"/>
      <c r="E18" s="171">
        <f>'3. Prognose BS'!E55</f>
        <v>430</v>
      </c>
      <c r="F18" s="171">
        <f>'3. Prognose BS'!F55</f>
        <v>431</v>
      </c>
      <c r="G18" s="171">
        <f>'3. Prognose BS'!G55</f>
        <v>502.45645427500006</v>
      </c>
      <c r="H18" s="171">
        <f>'3. Prognose BS'!H55</f>
        <v>573.49251427500008</v>
      </c>
      <c r="I18" s="171">
        <f>'3. Prognose BS'!I55</f>
        <v>600.80015395500004</v>
      </c>
      <c r="J18" s="171">
        <f>'3. Prognose BS'!J55</f>
        <v>645.72921207820002</v>
      </c>
      <c r="K18" s="171">
        <f>'3. Prognose BS'!K55</f>
        <v>693.88885136386398</v>
      </c>
      <c r="L18" s="53"/>
      <c r="M18" s="81"/>
      <c r="N18" s="53"/>
      <c r="O18" s="53"/>
    </row>
    <row r="19" spans="2:15" s="42" customFormat="1" ht="13.8" x14ac:dyDescent="0.3">
      <c r="B19" s="52"/>
      <c r="C19" s="52"/>
      <c r="D19" s="52"/>
      <c r="E19" s="146"/>
      <c r="F19" s="146"/>
      <c r="G19" s="146"/>
      <c r="H19" s="146"/>
      <c r="I19" s="146"/>
      <c r="J19" s="146"/>
      <c r="K19" s="146"/>
      <c r="L19" s="52"/>
      <c r="M19" s="68"/>
      <c r="N19" s="52"/>
      <c r="O19" s="52"/>
    </row>
    <row r="20" spans="2:15" s="44" customFormat="1" ht="13.8" x14ac:dyDescent="0.3">
      <c r="B20" s="53" t="s">
        <v>149</v>
      </c>
      <c r="C20" s="53"/>
      <c r="D20" s="53"/>
      <c r="E20" s="171">
        <f>'3. Prognose BS'!E63</f>
        <v>60</v>
      </c>
      <c r="F20" s="171">
        <f>'3. Prognose BS'!F63</f>
        <v>10</v>
      </c>
      <c r="G20" s="171">
        <f>'3. Prognose BS'!G63</f>
        <v>30</v>
      </c>
      <c r="H20" s="171">
        <f>'3. Prognose BS'!H63</f>
        <v>10</v>
      </c>
      <c r="I20" s="171">
        <f>'3. Prognose BS'!I63</f>
        <v>10</v>
      </c>
      <c r="J20" s="171">
        <f>'3. Prognose BS'!J63</f>
        <v>10</v>
      </c>
      <c r="K20" s="171">
        <f>'3. Prognose BS'!K63</f>
        <v>10</v>
      </c>
      <c r="L20" s="53"/>
      <c r="M20" s="81"/>
      <c r="N20" s="53"/>
      <c r="O20" s="53"/>
    </row>
    <row r="21" spans="2:15" s="42" customFormat="1" ht="13.8" x14ac:dyDescent="0.3">
      <c r="B21" s="52"/>
      <c r="C21" s="52"/>
      <c r="D21" s="52"/>
      <c r="E21" s="146"/>
      <c r="F21" s="146"/>
      <c r="G21" s="146"/>
      <c r="H21" s="146"/>
      <c r="I21" s="146"/>
      <c r="J21" s="146"/>
      <c r="K21" s="146"/>
      <c r="L21" s="52"/>
      <c r="M21" s="68"/>
      <c r="N21" s="52"/>
      <c r="O21" s="52"/>
    </row>
    <row r="22" spans="2:15" s="44" customFormat="1" ht="13.8" x14ac:dyDescent="0.3">
      <c r="B22" s="53" t="s">
        <v>21</v>
      </c>
      <c r="C22" s="53"/>
      <c r="D22" s="53"/>
      <c r="E22" s="171">
        <f>'3. Prognose BS'!E98</f>
        <v>70</v>
      </c>
      <c r="F22" s="171">
        <f>'3. Prognose BS'!F98</f>
        <v>101</v>
      </c>
      <c r="G22" s="171">
        <f>'3. Prognose BS'!G98</f>
        <v>71</v>
      </c>
      <c r="H22" s="171">
        <f>'3. Prognose BS'!H98</f>
        <v>131</v>
      </c>
      <c r="I22" s="171">
        <f>'3. Prognose BS'!I98</f>
        <v>101</v>
      </c>
      <c r="J22" s="171">
        <f>'3. Prognose BS'!J98</f>
        <v>71</v>
      </c>
      <c r="K22" s="171">
        <f>'3. Prognose BS'!K98</f>
        <v>41</v>
      </c>
      <c r="L22" s="53"/>
      <c r="M22" s="81"/>
      <c r="N22" s="53"/>
      <c r="O22" s="53"/>
    </row>
    <row r="23" spans="2:15" s="42" customFormat="1" ht="13.8" x14ac:dyDescent="0.3">
      <c r="B23" s="52"/>
      <c r="C23" s="52"/>
      <c r="D23" s="52"/>
      <c r="E23" s="146"/>
      <c r="F23" s="146"/>
      <c r="G23" s="146"/>
      <c r="H23" s="146"/>
      <c r="I23" s="146"/>
      <c r="J23" s="146"/>
      <c r="K23" s="146"/>
      <c r="L23" s="52"/>
      <c r="M23" s="52"/>
      <c r="N23" s="52"/>
      <c r="O23" s="52"/>
    </row>
    <row r="24" spans="2:15" s="42" customFormat="1" ht="13.8" x14ac:dyDescent="0.3">
      <c r="B24" s="52" t="s">
        <v>43</v>
      </c>
      <c r="C24" s="52"/>
      <c r="D24" s="52"/>
      <c r="E24" s="146">
        <f>-'3. Prognose BS'!E96</f>
        <v>10</v>
      </c>
      <c r="F24" s="146">
        <f>-'3. Prognose BS'!F96</f>
        <v>10</v>
      </c>
      <c r="G24" s="146">
        <f>-'3. Prognose BS'!G96</f>
        <v>20</v>
      </c>
      <c r="H24" s="146">
        <f>-'3. Prognose BS'!H96</f>
        <v>40</v>
      </c>
      <c r="I24" s="146">
        <f>-'3. Prognose BS'!I96</f>
        <v>30</v>
      </c>
      <c r="J24" s="146">
        <f>-'3. Prognose BS'!J96</f>
        <v>40</v>
      </c>
      <c r="K24" s="146">
        <f>-'3. Prognose BS'!K96</f>
        <v>30</v>
      </c>
      <c r="L24" s="52"/>
      <c r="M24" s="52"/>
      <c r="N24" s="52"/>
      <c r="O24" s="52"/>
    </row>
    <row r="25" spans="2:15" s="42" customFormat="1" ht="13.8" x14ac:dyDescent="0.3">
      <c r="B25" s="52" t="s">
        <v>14</v>
      </c>
      <c r="C25" s="52"/>
      <c r="D25" s="52"/>
      <c r="E25" s="146">
        <f>'3. Prognose BS'!E112</f>
        <v>4</v>
      </c>
      <c r="F25" s="146">
        <f>'3. Prognose BS'!F112</f>
        <v>4</v>
      </c>
      <c r="G25" s="146">
        <f>'3. Prognose BS'!G112</f>
        <v>0</v>
      </c>
      <c r="H25" s="146">
        <f>'3. Prognose BS'!H112</f>
        <v>50</v>
      </c>
      <c r="I25" s="146">
        <f>'3. Prognose BS'!I112</f>
        <v>25</v>
      </c>
      <c r="J25" s="146">
        <f>'3. Prognose BS'!J112</f>
        <v>0</v>
      </c>
      <c r="K25" s="146">
        <f>'3. Prognose BS'!K112</f>
        <v>0</v>
      </c>
      <c r="L25" s="52"/>
      <c r="M25" s="52"/>
      <c r="N25" s="52"/>
      <c r="O25" s="52"/>
    </row>
    <row r="26" spans="2:15" s="42" customFormat="1" ht="13.8" x14ac:dyDescent="0.3">
      <c r="B26" s="52" t="s">
        <v>25</v>
      </c>
      <c r="C26" s="52"/>
      <c r="D26" s="52"/>
      <c r="E26" s="146">
        <f>'3. Prognose BS'!E118</f>
        <v>40</v>
      </c>
      <c r="F26" s="146">
        <f>'3. Prognose BS'!F118</f>
        <v>45</v>
      </c>
      <c r="G26" s="146">
        <f>'3. Prognose BS'!G118</f>
        <v>34.40613698630137</v>
      </c>
      <c r="H26" s="146">
        <f>'3. Prognose BS'!H118</f>
        <v>38.018781369863014</v>
      </c>
      <c r="I26" s="146">
        <f>'3. Prognose BS'!I118</f>
        <v>41.762169073972608</v>
      </c>
      <c r="J26" s="146">
        <f>'3. Prognose BS'!J118</f>
        <v>45.640084773698625</v>
      </c>
      <c r="K26" s="146">
        <f>'3. Prognose BS'!K118</f>
        <v>46.552886469172606</v>
      </c>
      <c r="L26" s="52"/>
      <c r="M26" s="52"/>
      <c r="N26" s="52"/>
      <c r="O26" s="52"/>
    </row>
    <row r="27" spans="2:15" s="42" customFormat="1" ht="13.8" x14ac:dyDescent="0.3">
      <c r="B27" s="52" t="s">
        <v>34</v>
      </c>
      <c r="C27" s="52"/>
      <c r="D27" s="52"/>
      <c r="E27" s="146">
        <f>'3. Prognose BS'!E122</f>
        <v>30</v>
      </c>
      <c r="F27" s="146">
        <f>'3. Prognose BS'!F122</f>
        <v>25</v>
      </c>
      <c r="G27" s="146">
        <f>'3. Prognose BS'!G122</f>
        <v>13.9536</v>
      </c>
      <c r="H27" s="146">
        <f>'3. Prognose BS'!H122</f>
        <v>15.418728000000002</v>
      </c>
      <c r="I27" s="146">
        <f>'3. Prognose BS'!I122</f>
        <v>16.936879680000001</v>
      </c>
      <c r="J27" s="146">
        <f>'3. Prognose BS'!J122</f>
        <v>18.509589935999998</v>
      </c>
      <c r="K27" s="146">
        <f>'3. Prognose BS'!K122</f>
        <v>18.879781734720002</v>
      </c>
      <c r="L27" s="52"/>
      <c r="M27" s="52"/>
      <c r="N27" s="52"/>
      <c r="O27" s="52"/>
    </row>
    <row r="28" spans="2:15" s="44" customFormat="1" ht="13.8" x14ac:dyDescent="0.3">
      <c r="B28" s="44" t="s">
        <v>112</v>
      </c>
      <c r="E28" s="195">
        <f>SUM(E24:E27)</f>
        <v>84</v>
      </c>
      <c r="F28" s="195">
        <f t="shared" ref="F28:K28" si="4">SUM(F24:F27)</f>
        <v>84</v>
      </c>
      <c r="G28" s="195">
        <f t="shared" si="4"/>
        <v>68.359736986301371</v>
      </c>
      <c r="H28" s="195">
        <f t="shared" si="4"/>
        <v>143.43750936986299</v>
      </c>
      <c r="I28" s="195">
        <f t="shared" si="4"/>
        <v>113.69904875397262</v>
      </c>
      <c r="J28" s="195">
        <f t="shared" si="4"/>
        <v>104.14967470969862</v>
      </c>
      <c r="K28" s="195">
        <f t="shared" si="4"/>
        <v>95.432668203892604</v>
      </c>
      <c r="L28" s="53"/>
      <c r="M28" s="53"/>
      <c r="N28" s="53"/>
      <c r="O28" s="53"/>
    </row>
    <row r="29" spans="2:15" s="42" customFormat="1" ht="13.8" x14ac:dyDescent="0.3">
      <c r="E29" s="146"/>
      <c r="F29" s="146"/>
      <c r="G29" s="146"/>
      <c r="H29" s="146"/>
      <c r="I29" s="146"/>
      <c r="J29" s="146"/>
      <c r="K29" s="146"/>
      <c r="L29" s="52"/>
      <c r="M29" s="52"/>
      <c r="N29" s="52"/>
      <c r="O29" s="52"/>
    </row>
    <row r="30" spans="2:15" s="44" customFormat="1" thickBot="1" x14ac:dyDescent="0.35">
      <c r="B30" s="44" t="s">
        <v>15</v>
      </c>
      <c r="E30" s="194">
        <f>E18+E20+E22+E28</f>
        <v>644</v>
      </c>
      <c r="F30" s="194">
        <f t="shared" ref="F30:K30" si="5">F18+F20+F22+F28</f>
        <v>626</v>
      </c>
      <c r="G30" s="194">
        <f t="shared" si="5"/>
        <v>671.81619126130147</v>
      </c>
      <c r="H30" s="194">
        <f t="shared" si="5"/>
        <v>857.93002364486301</v>
      </c>
      <c r="I30" s="194">
        <f t="shared" si="5"/>
        <v>825.49920270897269</v>
      </c>
      <c r="J30" s="194">
        <f t="shared" si="5"/>
        <v>830.87888678789864</v>
      </c>
      <c r="K30" s="194">
        <f t="shared" si="5"/>
        <v>840.32151956775658</v>
      </c>
      <c r="L30" s="53"/>
      <c r="M30" s="53"/>
      <c r="N30" s="53"/>
      <c r="O30" s="53"/>
    </row>
    <row r="31" spans="2:15" s="42" customFormat="1" thickTop="1" x14ac:dyDescent="0.3">
      <c r="E31" s="146"/>
      <c r="F31" s="146"/>
      <c r="G31" s="146"/>
      <c r="H31" s="146"/>
      <c r="I31" s="146"/>
      <c r="J31" s="146"/>
      <c r="K31" s="146"/>
      <c r="L31" s="52"/>
      <c r="M31" s="52"/>
      <c r="N31" s="52"/>
      <c r="O31" s="52"/>
    </row>
    <row r="32" spans="2:15" s="42" customFormat="1" ht="13.8" x14ac:dyDescent="0.3">
      <c r="E32" s="146"/>
      <c r="F32" s="146"/>
      <c r="G32" s="146"/>
      <c r="H32" s="146"/>
      <c r="I32" s="146"/>
      <c r="J32" s="146"/>
      <c r="K32" s="146"/>
      <c r="L32" s="52"/>
      <c r="M32" s="52"/>
      <c r="N32" s="52"/>
      <c r="O32" s="52"/>
    </row>
    <row r="33" spans="2:15" s="95" customFormat="1" ht="13.8" x14ac:dyDescent="0.3">
      <c r="B33" s="95" t="s">
        <v>16</v>
      </c>
      <c r="E33" s="178">
        <f t="shared" ref="E33:K33" si="6">E16-E30</f>
        <v>0</v>
      </c>
      <c r="F33" s="178">
        <f t="shared" si="6"/>
        <v>0</v>
      </c>
      <c r="G33" s="178">
        <f t="shared" si="6"/>
        <v>0</v>
      </c>
      <c r="H33" s="178">
        <f t="shared" si="6"/>
        <v>0</v>
      </c>
      <c r="I33" s="178">
        <f t="shared" si="6"/>
        <v>0</v>
      </c>
      <c r="J33" s="178">
        <f t="shared" si="6"/>
        <v>0</v>
      </c>
      <c r="K33" s="178">
        <f t="shared" si="6"/>
        <v>0</v>
      </c>
      <c r="L33" s="100"/>
      <c r="M33" s="100"/>
      <c r="N33" s="100"/>
      <c r="O33" s="100"/>
    </row>
    <row r="34" spans="2:15" s="42" customFormat="1" ht="13.8" x14ac:dyDescent="0.3">
      <c r="E34" s="146"/>
      <c r="F34" s="146"/>
      <c r="G34" s="146"/>
      <c r="H34" s="146"/>
      <c r="I34" s="146"/>
      <c r="J34" s="146"/>
      <c r="K34" s="146"/>
      <c r="L34" s="52"/>
      <c r="M34" s="52"/>
      <c r="N34" s="52"/>
      <c r="O34" s="52"/>
    </row>
    <row r="35" spans="2:15" s="2" customFormat="1" x14ac:dyDescent="0.3">
      <c r="E35" s="196"/>
      <c r="F35" s="196"/>
      <c r="G35" s="196"/>
      <c r="H35" s="196"/>
      <c r="I35" s="196"/>
      <c r="J35" s="196"/>
      <c r="K35" s="196"/>
      <c r="L35" s="5"/>
      <c r="M35" s="5"/>
      <c r="N35" s="5"/>
      <c r="O35" s="5"/>
    </row>
    <row r="36" spans="2:15" x14ac:dyDescent="0.3">
      <c r="E36" s="143"/>
      <c r="F36" s="143"/>
      <c r="G36" s="143"/>
      <c r="H36" s="143"/>
      <c r="I36" s="143"/>
      <c r="J36" s="143"/>
      <c r="K36" s="143"/>
    </row>
    <row r="37" spans="2:15" x14ac:dyDescent="0.3">
      <c r="E37" s="143"/>
      <c r="F37" s="143"/>
      <c r="G37" s="143"/>
      <c r="H37" s="143"/>
      <c r="I37" s="143"/>
      <c r="J37" s="143"/>
      <c r="K37" s="143"/>
    </row>
    <row r="38" spans="2:15" x14ac:dyDescent="0.3">
      <c r="E38" s="143"/>
      <c r="F38" s="143"/>
      <c r="G38" s="143"/>
      <c r="H38" s="143"/>
      <c r="I38" s="143"/>
      <c r="J38" s="143"/>
      <c r="K38" s="143"/>
    </row>
    <row r="39" spans="2:15" x14ac:dyDescent="0.3">
      <c r="E39" s="143"/>
      <c r="F39" s="143"/>
      <c r="G39" s="143"/>
      <c r="H39" s="143"/>
      <c r="I39" s="143"/>
      <c r="J39" s="143"/>
      <c r="K39" s="143"/>
    </row>
    <row r="40" spans="2:15" x14ac:dyDescent="0.3">
      <c r="E40" s="143"/>
      <c r="F40" s="143"/>
      <c r="G40" s="143"/>
      <c r="H40" s="143"/>
      <c r="I40" s="143"/>
      <c r="J40" s="143"/>
      <c r="K40" s="143"/>
    </row>
    <row r="41" spans="2:15" x14ac:dyDescent="0.3">
      <c r="E41" s="143"/>
      <c r="F41" s="143"/>
      <c r="G41" s="143"/>
      <c r="H41" s="143"/>
      <c r="I41" s="143"/>
      <c r="J41" s="143"/>
      <c r="K41" s="143"/>
    </row>
  </sheetData>
  <conditionalFormatting sqref="E4:K4">
    <cfRule type="expression" dxfId="31" priority="3">
      <formula>E4="CHECK"</formula>
    </cfRule>
  </conditionalFormatting>
  <conditionalFormatting sqref="O2">
    <cfRule type="cellIs" dxfId="30" priority="1" operator="notEqual">
      <formula>0</formula>
    </cfRule>
    <cfRule type="cellIs" dxfId="29" priority="2" operator="equal">
      <formula>0</formula>
    </cfRule>
  </conditionalFormatting>
  <pageMargins left="0.7" right="0.7" top="0.75" bottom="0.75" header="0.3" footer="0.3"/>
  <pageSetup paperSize="9" scale="82"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65BD9-84B3-4FF1-8E8B-C35B4D72918F}">
  <sheetPr>
    <pageSetUpPr fitToPage="1"/>
  </sheetPr>
  <dimension ref="B1:O55"/>
  <sheetViews>
    <sheetView showGridLines="0" zoomScale="90" zoomScaleNormal="90" workbookViewId="0">
      <pane ySplit="5" topLeftCell="A6" activePane="bottomLeft" state="frozen"/>
      <selection activeCell="B2" sqref="B2"/>
      <selection pane="bottomLeft" activeCell="A6" sqref="A6"/>
    </sheetView>
  </sheetViews>
  <sheetFormatPr defaultRowHeight="14.4" x14ac:dyDescent="0.3"/>
  <cols>
    <col min="1" max="1" width="2.21875" customWidth="1"/>
    <col min="2" max="2" width="33.77734375" customWidth="1"/>
    <col min="3" max="4" width="2.109375" customWidth="1"/>
    <col min="5" max="5" width="2.88671875" customWidth="1"/>
    <col min="6" max="11" width="8.88671875" customWidth="1"/>
  </cols>
  <sheetData>
    <row r="1" spans="2:15" x14ac:dyDescent="0.3">
      <c r="K1" s="13" t="s">
        <v>28</v>
      </c>
    </row>
    <row r="2" spans="2:15" ht="15.6" x14ac:dyDescent="0.3">
      <c r="B2" s="12" t="s">
        <v>86</v>
      </c>
      <c r="K2" s="13"/>
      <c r="M2" s="25" t="s">
        <v>390</v>
      </c>
      <c r="N2" s="25"/>
      <c r="O2" s="169">
        <f>ErrorChecks!B5</f>
        <v>0</v>
      </c>
    </row>
    <row r="4" spans="2:15" s="9" customFormat="1" ht="12" x14ac:dyDescent="0.25">
      <c r="B4" s="37" t="s">
        <v>362</v>
      </c>
      <c r="C4" s="11"/>
      <c r="D4" s="11"/>
      <c r="E4" s="83"/>
      <c r="F4" s="83" t="str">
        <f>IF(F44=0,"OK","NOT OK")</f>
        <v>OK</v>
      </c>
      <c r="G4" s="83" t="str">
        <f t="shared" ref="G4:K4" si="0">IF(G44=0,"OK","NOT OK")</f>
        <v>OK</v>
      </c>
      <c r="H4" s="83" t="str">
        <f t="shared" si="0"/>
        <v>OK</v>
      </c>
      <c r="I4" s="83" t="str">
        <f t="shared" si="0"/>
        <v>OK</v>
      </c>
      <c r="J4" s="83" t="str">
        <f t="shared" si="0"/>
        <v>OK</v>
      </c>
      <c r="K4" s="83" t="str">
        <f t="shared" si="0"/>
        <v>OK</v>
      </c>
    </row>
    <row r="5" spans="2:15" s="42" customFormat="1" ht="13.8" x14ac:dyDescent="0.3">
      <c r="B5" s="126" t="s">
        <v>86</v>
      </c>
      <c r="C5" s="127"/>
      <c r="D5" s="126"/>
      <c r="E5" s="127"/>
      <c r="F5" s="127" t="str">
        <f>RR!F5</f>
        <v>R 2025</v>
      </c>
      <c r="G5" s="127" t="str">
        <f>RR!G5</f>
        <v>P 2026</v>
      </c>
      <c r="H5" s="127" t="str">
        <f>RR!H5</f>
        <v>P 2027</v>
      </c>
      <c r="I5" s="127" t="str">
        <f>RR!I5</f>
        <v>P 2028</v>
      </c>
      <c r="J5" s="127" t="str">
        <f>RR!J5</f>
        <v>P 2029</v>
      </c>
      <c r="K5" s="127" t="str">
        <f>RR!K5</f>
        <v>P 2030</v>
      </c>
    </row>
    <row r="6" spans="2:15" s="42" customFormat="1" ht="13.8" x14ac:dyDescent="0.3">
      <c r="F6" s="146"/>
      <c r="G6" s="146"/>
      <c r="H6" s="146"/>
      <c r="I6" s="146"/>
      <c r="J6" s="146"/>
      <c r="K6" s="146"/>
    </row>
    <row r="7" spans="2:15" s="44" customFormat="1" ht="13.8" x14ac:dyDescent="0.3">
      <c r="B7" s="44" t="str">
        <f>RR!B25</f>
        <v>Netto resultaat</v>
      </c>
      <c r="E7" s="45"/>
      <c r="F7" s="171">
        <f>RR!F25</f>
        <v>6</v>
      </c>
      <c r="G7" s="171">
        <f>RR!G25</f>
        <v>81.456454275000027</v>
      </c>
      <c r="H7" s="171">
        <f>RR!H25</f>
        <v>81.036060000000035</v>
      </c>
      <c r="I7" s="171">
        <f>RR!I25</f>
        <v>42.307639680000023</v>
      </c>
      <c r="J7" s="171">
        <f>RR!J25</f>
        <v>64.929058123199965</v>
      </c>
      <c r="K7" s="171">
        <f>RR!K25</f>
        <v>68.159639285663957</v>
      </c>
    </row>
    <row r="8" spans="2:15" s="42" customFormat="1" ht="13.8" x14ac:dyDescent="0.3">
      <c r="F8" s="146"/>
      <c r="G8" s="146"/>
      <c r="H8" s="146"/>
      <c r="I8" s="146"/>
      <c r="J8" s="146"/>
      <c r="K8" s="146"/>
    </row>
    <row r="9" spans="2:15" s="42" customFormat="1" ht="13.8" x14ac:dyDescent="0.3">
      <c r="B9" s="50" t="s">
        <v>87</v>
      </c>
      <c r="F9" s="146"/>
      <c r="G9" s="146"/>
      <c r="H9" s="146"/>
      <c r="I9" s="146"/>
      <c r="J9" s="146"/>
      <c r="K9" s="146"/>
    </row>
    <row r="10" spans="2:15" s="42" customFormat="1" ht="13.8" x14ac:dyDescent="0.3">
      <c r="B10" s="102" t="s">
        <v>3</v>
      </c>
      <c r="E10" s="43"/>
      <c r="F10" s="146">
        <f>-RR!F15</f>
        <v>60</v>
      </c>
      <c r="G10" s="146">
        <f>-RR!G15</f>
        <v>19.903794300000001</v>
      </c>
      <c r="H10" s="146">
        <f>-RR!H15</f>
        <v>23</v>
      </c>
      <c r="I10" s="146">
        <f>-RR!I15</f>
        <v>37</v>
      </c>
      <c r="J10" s="146">
        <f>-RR!J15</f>
        <v>40</v>
      </c>
      <c r="K10" s="146">
        <f>-RR!K15</f>
        <v>40</v>
      </c>
    </row>
    <row r="11" spans="2:15" s="42" customFormat="1" ht="13.8" x14ac:dyDescent="0.3">
      <c r="B11" s="102" t="s">
        <v>183</v>
      </c>
      <c r="E11" s="43"/>
      <c r="F11" s="146">
        <f>'3. Prognose BS'!F60</f>
        <v>10</v>
      </c>
      <c r="G11" s="146">
        <f>'3. Prognose BS'!G60</f>
        <v>30</v>
      </c>
      <c r="H11" s="146">
        <f>'3. Prognose BS'!H60</f>
        <v>0</v>
      </c>
      <c r="I11" s="146">
        <f>'3. Prognose BS'!I60</f>
        <v>0</v>
      </c>
      <c r="J11" s="146">
        <f>'3. Prognose BS'!J60</f>
        <v>0</v>
      </c>
      <c r="K11" s="146">
        <f>'3. Prognose BS'!K60</f>
        <v>0</v>
      </c>
    </row>
    <row r="12" spans="2:15" s="42" customFormat="1" ht="13.8" x14ac:dyDescent="0.3">
      <c r="B12" s="102" t="s">
        <v>184</v>
      </c>
      <c r="E12" s="43"/>
      <c r="F12" s="146">
        <f>'3. Prognose BS'!F62</f>
        <v>0</v>
      </c>
      <c r="G12" s="146">
        <f>'3. Prognose BS'!G62</f>
        <v>0</v>
      </c>
      <c r="H12" s="146">
        <f>'3. Prognose BS'!H62</f>
        <v>-20</v>
      </c>
      <c r="I12" s="146">
        <f>'3. Prognose BS'!I62</f>
        <v>0</v>
      </c>
      <c r="J12" s="146">
        <f>'3. Prognose BS'!J62</f>
        <v>0</v>
      </c>
      <c r="K12" s="146">
        <f>'3. Prognose BS'!K62</f>
        <v>0</v>
      </c>
    </row>
    <row r="13" spans="2:15" s="42" customFormat="1" ht="13.8" x14ac:dyDescent="0.3">
      <c r="B13" s="102" t="str">
        <f>RR!B19</f>
        <v>Verkoopresultaat vaste activa</v>
      </c>
      <c r="E13" s="43"/>
      <c r="F13" s="146">
        <f>-RR!F19</f>
        <v>-40</v>
      </c>
      <c r="G13" s="146">
        <f>-RR!G19</f>
        <v>0</v>
      </c>
      <c r="H13" s="146">
        <f>-RR!H19</f>
        <v>-4</v>
      </c>
      <c r="I13" s="146">
        <f>-RR!I19</f>
        <v>6</v>
      </c>
      <c r="J13" s="146">
        <f>-RR!J19</f>
        <v>0</v>
      </c>
      <c r="K13" s="146">
        <f>-RR!K19</f>
        <v>0</v>
      </c>
    </row>
    <row r="14" spans="2:15" s="50" customFormat="1" ht="13.8" x14ac:dyDescent="0.3">
      <c r="B14" s="106" t="s">
        <v>190</v>
      </c>
      <c r="E14" s="82"/>
      <c r="F14" s="197">
        <f>SUM(F7:F13)</f>
        <v>36</v>
      </c>
      <c r="G14" s="197">
        <f t="shared" ref="G14:K14" si="1">SUM(G7:G13)</f>
        <v>131.36024857500001</v>
      </c>
      <c r="H14" s="197">
        <f t="shared" si="1"/>
        <v>80.036060000000035</v>
      </c>
      <c r="I14" s="197">
        <f t="shared" si="1"/>
        <v>85.307639680000023</v>
      </c>
      <c r="J14" s="197">
        <f t="shared" si="1"/>
        <v>104.92905812319997</v>
      </c>
      <c r="K14" s="197">
        <f t="shared" si="1"/>
        <v>108.15963928566396</v>
      </c>
    </row>
    <row r="15" spans="2:15" s="42" customFormat="1" ht="13.8" x14ac:dyDescent="0.3">
      <c r="F15" s="146"/>
      <c r="G15" s="146"/>
      <c r="H15" s="146"/>
      <c r="I15" s="146"/>
      <c r="J15" s="146"/>
      <c r="K15" s="146"/>
    </row>
    <row r="16" spans="2:15" s="42" customFormat="1" ht="13.8" x14ac:dyDescent="0.3">
      <c r="B16" s="50" t="s">
        <v>88</v>
      </c>
      <c r="F16" s="146"/>
      <c r="G16" s="146"/>
      <c r="H16" s="146"/>
      <c r="I16" s="146"/>
      <c r="J16" s="146"/>
      <c r="K16" s="146"/>
    </row>
    <row r="17" spans="2:13" s="42" customFormat="1" ht="13.8" x14ac:dyDescent="0.3">
      <c r="B17" s="102" t="str">
        <f>Balans!B10</f>
        <v>Voorraden</v>
      </c>
      <c r="F17" s="146">
        <f>Balans!E10-Balans!F10</f>
        <v>15</v>
      </c>
      <c r="G17" s="146">
        <f>Balans!F10-Balans!G10</f>
        <v>4.6479342465753426</v>
      </c>
      <c r="H17" s="146">
        <f>Balans!G10-Balans!H10</f>
        <v>-0.56196690410958894</v>
      </c>
      <c r="I17" s="146">
        <f>Balans!H10-Balans!I10</f>
        <v>-0.58230475397260406</v>
      </c>
      <c r="J17" s="146">
        <f>Balans!I10-Balans!J10</f>
        <v>-0.60323133106849181</v>
      </c>
      <c r="K17" s="146">
        <f>Balans!J10-Balans!K10</f>
        <v>-0.14199137485150715</v>
      </c>
    </row>
    <row r="18" spans="2:13" s="42" customFormat="1" ht="13.8" x14ac:dyDescent="0.3">
      <c r="B18" s="102" t="str">
        <f>Balans!B11</f>
        <v>Debiteuren</v>
      </c>
      <c r="F18" s="146">
        <f>Balans!E11-Balans!F11</f>
        <v>-1</v>
      </c>
      <c r="G18" s="146">
        <f>Balans!F11-Balans!G11</f>
        <v>22.770958904109591</v>
      </c>
      <c r="H18" s="146">
        <f>Balans!G11-Balans!H11</f>
        <v>-4.0140493150685046</v>
      </c>
      <c r="I18" s="146">
        <f>Balans!H11-Balans!I11</f>
        <v>-4.1593196712328719</v>
      </c>
      <c r="J18" s="146">
        <f>Balans!I11-Balans!J11</f>
        <v>-4.308795221917805</v>
      </c>
      <c r="K18" s="146">
        <f>Balans!J11-Balans!K11</f>
        <v>-1.0142241060821959</v>
      </c>
    </row>
    <row r="19" spans="2:13" s="42" customFormat="1" ht="13.8" x14ac:dyDescent="0.3">
      <c r="B19" s="102" t="str">
        <f>Balans!B12</f>
        <v>Overige kortlopende activa</v>
      </c>
      <c r="F19" s="146">
        <f>Balans!E12-Balans!F12</f>
        <v>-1</v>
      </c>
      <c r="G19" s="146">
        <f>Balans!F12-Balans!G12</f>
        <v>3.2092800000000001</v>
      </c>
      <c r="H19" s="146">
        <f>Balans!G12-Balans!H12</f>
        <v>-0.29302560000000044</v>
      </c>
      <c r="I19" s="146">
        <f>Balans!H12-Balans!I12</f>
        <v>-0.30363033600000033</v>
      </c>
      <c r="J19" s="146">
        <f>Balans!I12-Balans!J12</f>
        <v>-0.31454205119999923</v>
      </c>
      <c r="K19" s="146">
        <f>Balans!J12-Balans!K12</f>
        <v>-7.4038359744000193E-2</v>
      </c>
    </row>
    <row r="20" spans="2:13" s="42" customFormat="1" ht="13.8" x14ac:dyDescent="0.3">
      <c r="B20" s="102" t="str">
        <f>Balans!B26</f>
        <v>Crediteuren</v>
      </c>
      <c r="F20" s="146">
        <f>Balans!F26-Balans!E26</f>
        <v>5</v>
      </c>
      <c r="G20" s="146">
        <f>Balans!G26-Balans!F26</f>
        <v>-10.59386301369863</v>
      </c>
      <c r="H20" s="146">
        <f>Balans!H26-Balans!G26</f>
        <v>3.6126443835616442</v>
      </c>
      <c r="I20" s="146">
        <f>Balans!I26-Balans!H26</f>
        <v>3.743387704109594</v>
      </c>
      <c r="J20" s="146">
        <f>Balans!J26-Balans!I26</f>
        <v>3.8779156997260174</v>
      </c>
      <c r="K20" s="146">
        <f>Balans!K26-Balans!J26</f>
        <v>0.9128016954739806</v>
      </c>
    </row>
    <row r="21" spans="2:13" s="42" customFormat="1" ht="13.8" x14ac:dyDescent="0.3">
      <c r="B21" s="102" t="str">
        <f>Balans!B27</f>
        <v>Overige kortlopende passiva</v>
      </c>
      <c r="F21" s="146">
        <f>Balans!F27-Balans!E27</f>
        <v>-5</v>
      </c>
      <c r="G21" s="146">
        <f>Balans!G27-Balans!F27</f>
        <v>-11.0464</v>
      </c>
      <c r="H21" s="146">
        <f>Balans!H27-Balans!G27</f>
        <v>1.4651280000000018</v>
      </c>
      <c r="I21" s="146">
        <f>Balans!I27-Balans!H27</f>
        <v>1.518151679999999</v>
      </c>
      <c r="J21" s="146">
        <f>Balans!J27-Balans!I27</f>
        <v>1.572710255999997</v>
      </c>
      <c r="K21" s="146">
        <f>Balans!K27-Balans!J27</f>
        <v>0.37019179872000407</v>
      </c>
    </row>
    <row r="22" spans="2:13" s="50" customFormat="1" ht="13.8" x14ac:dyDescent="0.3">
      <c r="B22" s="106" t="s">
        <v>89</v>
      </c>
      <c r="F22" s="197">
        <f>SUM(F17:F21)</f>
        <v>13</v>
      </c>
      <c r="G22" s="197">
        <f t="shared" ref="G22:K22" si="2">SUM(G17:G21)</f>
        <v>8.9879101369863026</v>
      </c>
      <c r="H22" s="197">
        <f t="shared" si="2"/>
        <v>0.20873056438355242</v>
      </c>
      <c r="I22" s="197">
        <f t="shared" si="2"/>
        <v>0.21628462290411665</v>
      </c>
      <c r="J22" s="197">
        <f t="shared" si="2"/>
        <v>0.2240573515397184</v>
      </c>
      <c r="K22" s="197">
        <f t="shared" si="2"/>
        <v>5.2739653516281404E-2</v>
      </c>
      <c r="M22" s="42" t="s">
        <v>195</v>
      </c>
    </row>
    <row r="23" spans="2:13" s="42" customFormat="1" ht="13.8" x14ac:dyDescent="0.3">
      <c r="F23" s="146"/>
      <c r="G23" s="146"/>
      <c r="H23" s="146"/>
      <c r="I23" s="146"/>
      <c r="J23" s="146"/>
      <c r="K23" s="146"/>
    </row>
    <row r="24" spans="2:13" s="42" customFormat="1" ht="13.8" x14ac:dyDescent="0.3">
      <c r="B24" s="42" t="s">
        <v>185</v>
      </c>
      <c r="F24" s="146">
        <f>'3. Prognose BS'!F61</f>
        <v>-60</v>
      </c>
      <c r="G24" s="146">
        <f>'3. Prognose BS'!G61</f>
        <v>-10</v>
      </c>
      <c r="H24" s="146">
        <f>'3. Prognose BS'!H61</f>
        <v>0</v>
      </c>
      <c r="I24" s="146">
        <f>'3. Prognose BS'!I61</f>
        <v>0</v>
      </c>
      <c r="J24" s="146">
        <f>'3. Prognose BS'!J61</f>
        <v>0</v>
      </c>
      <c r="K24" s="146">
        <f>'3. Prognose BS'!K61</f>
        <v>0</v>
      </c>
    </row>
    <row r="25" spans="2:13" s="44" customFormat="1" ht="13.8" x14ac:dyDescent="0.3">
      <c r="B25" s="44" t="s">
        <v>90</v>
      </c>
      <c r="F25" s="195">
        <f t="shared" ref="F25" si="3">F14+F22+F24</f>
        <v>-11</v>
      </c>
      <c r="G25" s="195">
        <f t="shared" ref="G25:K25" si="4">G14+G22+G24</f>
        <v>130.34815871198631</v>
      </c>
      <c r="H25" s="195">
        <f t="shared" si="4"/>
        <v>80.244790564383592</v>
      </c>
      <c r="I25" s="195">
        <f t="shared" si="4"/>
        <v>85.523924302904135</v>
      </c>
      <c r="J25" s="195">
        <f t="shared" si="4"/>
        <v>105.15311547473968</v>
      </c>
      <c r="K25" s="195">
        <f t="shared" si="4"/>
        <v>108.21237893918024</v>
      </c>
    </row>
    <row r="26" spans="2:13" s="42" customFormat="1" ht="13.8" x14ac:dyDescent="0.3">
      <c r="F26" s="146"/>
      <c r="G26" s="146"/>
      <c r="H26" s="146"/>
      <c r="I26" s="146"/>
      <c r="J26" s="146"/>
      <c r="K26" s="146"/>
    </row>
    <row r="27" spans="2:13" s="42" customFormat="1" ht="13.8" x14ac:dyDescent="0.3">
      <c r="B27" s="42" t="s">
        <v>180</v>
      </c>
      <c r="E27" s="43"/>
      <c r="F27" s="146">
        <f>-'3. Prognose BS'!F23</f>
        <v>-85</v>
      </c>
      <c r="G27" s="146">
        <f>-'3. Prognose BS'!G23</f>
        <v>-40</v>
      </c>
      <c r="H27" s="146">
        <f>-'3. Prognose BS'!H23</f>
        <v>-40</v>
      </c>
      <c r="I27" s="146">
        <f>-'3. Prognose BS'!I23</f>
        <v>-200</v>
      </c>
      <c r="J27" s="146">
        <f>-'3. Prognose BS'!J23</f>
        <v>-40</v>
      </c>
      <c r="K27" s="146">
        <f>-'3. Prognose BS'!K23</f>
        <v>-40</v>
      </c>
    </row>
    <row r="28" spans="2:13" s="42" customFormat="1" ht="13.8" x14ac:dyDescent="0.3">
      <c r="B28" s="42" t="s">
        <v>91</v>
      </c>
      <c r="E28" s="43"/>
      <c r="F28" s="146">
        <f>'3. Prognose BS'!F30</f>
        <v>45</v>
      </c>
      <c r="G28" s="146">
        <f>'3. Prognose BS'!G30</f>
        <v>0</v>
      </c>
      <c r="H28" s="146">
        <f>'3. Prognose BS'!H30</f>
        <v>14</v>
      </c>
      <c r="I28" s="146">
        <f>'3. Prognose BS'!I30</f>
        <v>44</v>
      </c>
      <c r="J28" s="146">
        <f>'3. Prognose BS'!J30</f>
        <v>0</v>
      </c>
      <c r="K28" s="146">
        <f>'3. Prognose BS'!K30</f>
        <v>0</v>
      </c>
      <c r="M28" s="43"/>
    </row>
    <row r="29" spans="2:13" s="44" customFormat="1" ht="13.8" x14ac:dyDescent="0.3">
      <c r="B29" s="44" t="s">
        <v>92</v>
      </c>
      <c r="E29" s="45"/>
      <c r="F29" s="195">
        <f>SUM(F27:F28)</f>
        <v>-40</v>
      </c>
      <c r="G29" s="195">
        <f t="shared" ref="G29:K29" si="5">SUM(G27:G28)</f>
        <v>-40</v>
      </c>
      <c r="H29" s="195">
        <f t="shared" si="5"/>
        <v>-26</v>
      </c>
      <c r="I29" s="195">
        <f t="shared" si="5"/>
        <v>-156</v>
      </c>
      <c r="J29" s="195">
        <f t="shared" si="5"/>
        <v>-40</v>
      </c>
      <c r="K29" s="195">
        <f t="shared" si="5"/>
        <v>-40</v>
      </c>
    </row>
    <row r="30" spans="2:13" s="42" customFormat="1" ht="13.8" x14ac:dyDescent="0.3">
      <c r="F30" s="146"/>
      <c r="G30" s="146"/>
      <c r="H30" s="146"/>
      <c r="I30" s="146"/>
      <c r="J30" s="146"/>
      <c r="K30" s="146"/>
    </row>
    <row r="31" spans="2:13" s="42" customFormat="1" ht="13.8" x14ac:dyDescent="0.3">
      <c r="B31" s="42" t="s">
        <v>93</v>
      </c>
      <c r="F31" s="146">
        <f>-'3. Prognose BS'!F101</f>
        <v>-10</v>
      </c>
      <c r="G31" s="146">
        <f>-'3. Prognose BS'!G101</f>
        <v>-30</v>
      </c>
      <c r="H31" s="146">
        <f>-'3. Prognose BS'!H101</f>
        <v>-20</v>
      </c>
      <c r="I31" s="146">
        <f>-'3. Prognose BS'!I101</f>
        <v>-40</v>
      </c>
      <c r="J31" s="146">
        <f>-'3. Prognose BS'!J101</f>
        <v>-40</v>
      </c>
      <c r="K31" s="146">
        <f>-'3. Prognose BS'!K101</f>
        <v>-40</v>
      </c>
    </row>
    <row r="32" spans="2:13" s="42" customFormat="1" ht="13.8" x14ac:dyDescent="0.3">
      <c r="B32" s="42" t="s">
        <v>95</v>
      </c>
      <c r="F32" s="146">
        <f>'3. Prognose BS'!F95</f>
        <v>41</v>
      </c>
      <c r="G32" s="146">
        <f>'3. Prognose BS'!G95</f>
        <v>10</v>
      </c>
      <c r="H32" s="146">
        <f>'3. Prognose BS'!H95</f>
        <v>100</v>
      </c>
      <c r="I32" s="146">
        <f>'3. Prognose BS'!I95</f>
        <v>0</v>
      </c>
      <c r="J32" s="146">
        <f>'3. Prognose BS'!J95</f>
        <v>20</v>
      </c>
      <c r="K32" s="146">
        <f>'3. Prognose BS'!K95</f>
        <v>0</v>
      </c>
    </row>
    <row r="33" spans="2:11" s="42" customFormat="1" ht="13.8" x14ac:dyDescent="0.3">
      <c r="B33" s="42" t="s">
        <v>96</v>
      </c>
      <c r="F33" s="146">
        <f>Balans!F25-Balans!E25</f>
        <v>0</v>
      </c>
      <c r="G33" s="146">
        <f>Balans!G25-Balans!F25</f>
        <v>-4</v>
      </c>
      <c r="H33" s="146">
        <f>Balans!H25-Balans!G25</f>
        <v>50</v>
      </c>
      <c r="I33" s="146">
        <f>Balans!I25-Balans!H25</f>
        <v>-25</v>
      </c>
      <c r="J33" s="146">
        <f>Balans!J25-Balans!I25</f>
        <v>-25</v>
      </c>
      <c r="K33" s="146">
        <f>Balans!K25-Balans!J25</f>
        <v>0</v>
      </c>
    </row>
    <row r="34" spans="2:11" s="42" customFormat="1" ht="13.8" x14ac:dyDescent="0.3">
      <c r="B34" s="42" t="str">
        <f>RR!B27</f>
        <v>Dividend uitkering</v>
      </c>
      <c r="F34" s="146">
        <f>-RR!F27</f>
        <v>-5</v>
      </c>
      <c r="G34" s="146">
        <f>-RR!G27</f>
        <v>-10</v>
      </c>
      <c r="H34" s="146">
        <f>-RR!H27</f>
        <v>-10</v>
      </c>
      <c r="I34" s="146">
        <f>-RR!I27</f>
        <v>-15</v>
      </c>
      <c r="J34" s="146">
        <f>-RR!J27</f>
        <v>-20</v>
      </c>
      <c r="K34" s="146">
        <f>-RR!K27</f>
        <v>-20</v>
      </c>
    </row>
    <row r="35" spans="2:11" s="44" customFormat="1" ht="13.8" x14ac:dyDescent="0.3">
      <c r="B35" s="44" t="s">
        <v>97</v>
      </c>
      <c r="F35" s="195">
        <f>SUM(F31:F34)</f>
        <v>26</v>
      </c>
      <c r="G35" s="195">
        <f t="shared" ref="G35:K35" si="6">SUM(G31:G34)</f>
        <v>-34</v>
      </c>
      <c r="H35" s="195">
        <f t="shared" si="6"/>
        <v>120</v>
      </c>
      <c r="I35" s="195">
        <f t="shared" si="6"/>
        <v>-80</v>
      </c>
      <c r="J35" s="195">
        <f t="shared" si="6"/>
        <v>-65</v>
      </c>
      <c r="K35" s="195">
        <f t="shared" si="6"/>
        <v>-60</v>
      </c>
    </row>
    <row r="36" spans="2:11" s="42" customFormat="1" ht="13.8" x14ac:dyDescent="0.3">
      <c r="F36" s="146"/>
      <c r="G36" s="146"/>
      <c r="H36" s="146"/>
      <c r="I36" s="146"/>
      <c r="J36" s="146"/>
      <c r="K36" s="146"/>
    </row>
    <row r="37" spans="2:11" s="44" customFormat="1" thickBot="1" x14ac:dyDescent="0.35">
      <c r="B37" s="44" t="s">
        <v>98</v>
      </c>
      <c r="F37" s="194">
        <f>F25+F29+F35</f>
        <v>-25</v>
      </c>
      <c r="G37" s="194">
        <f t="shared" ref="G37:K37" si="7">G25+G29+G35</f>
        <v>56.348158711986315</v>
      </c>
      <c r="H37" s="194">
        <f t="shared" si="7"/>
        <v>174.24479056438361</v>
      </c>
      <c r="I37" s="194">
        <f t="shared" si="7"/>
        <v>-150.47607569709587</v>
      </c>
      <c r="J37" s="194">
        <f t="shared" si="7"/>
        <v>0.15311547473967835</v>
      </c>
      <c r="K37" s="194">
        <f t="shared" si="7"/>
        <v>8.2123789391802404</v>
      </c>
    </row>
    <row r="38" spans="2:11" s="42" customFormat="1" thickTop="1" x14ac:dyDescent="0.3">
      <c r="F38" s="146"/>
      <c r="G38" s="146"/>
      <c r="H38" s="146"/>
      <c r="I38" s="146"/>
      <c r="J38" s="146"/>
      <c r="K38" s="146"/>
    </row>
    <row r="39" spans="2:11" s="42" customFormat="1" ht="13.8" x14ac:dyDescent="0.3">
      <c r="B39" s="42" t="s">
        <v>99</v>
      </c>
      <c r="F39" s="146">
        <f>Balans!E13</f>
        <v>104</v>
      </c>
      <c r="G39" s="146">
        <f>Balans!F13</f>
        <v>79</v>
      </c>
      <c r="H39" s="146">
        <f>Balans!G13</f>
        <v>135.34815871198646</v>
      </c>
      <c r="I39" s="146">
        <f>Balans!H13</f>
        <v>309.59294927637006</v>
      </c>
      <c r="J39" s="146">
        <f>Balans!I13</f>
        <v>159.11687357927406</v>
      </c>
      <c r="K39" s="146">
        <f>Balans!J13</f>
        <v>159.26998905401376</v>
      </c>
    </row>
    <row r="40" spans="2:11" s="42" customFormat="1" ht="13.8" x14ac:dyDescent="0.3">
      <c r="B40" s="42" t="str">
        <f>B37</f>
        <v>Totale kasstroom</v>
      </c>
      <c r="F40" s="146">
        <f>F37</f>
        <v>-25</v>
      </c>
      <c r="G40" s="146">
        <f t="shared" ref="G40:K40" si="8">G37</f>
        <v>56.348158711986315</v>
      </c>
      <c r="H40" s="146">
        <f t="shared" si="8"/>
        <v>174.24479056438361</v>
      </c>
      <c r="I40" s="146">
        <f t="shared" si="8"/>
        <v>-150.47607569709587</v>
      </c>
      <c r="J40" s="146">
        <f t="shared" si="8"/>
        <v>0.15311547473967835</v>
      </c>
      <c r="K40" s="146">
        <f t="shared" si="8"/>
        <v>8.2123789391802404</v>
      </c>
    </row>
    <row r="41" spans="2:11" s="44" customFormat="1" ht="13.8" x14ac:dyDescent="0.3">
      <c r="B41" s="44" t="s">
        <v>100</v>
      </c>
      <c r="F41" s="171">
        <f>SUM(F39:F40)</f>
        <v>79</v>
      </c>
      <c r="G41" s="171">
        <f t="shared" ref="G41:K41" si="9">SUM(G39:G40)</f>
        <v>135.34815871198631</v>
      </c>
      <c r="H41" s="171">
        <f t="shared" si="9"/>
        <v>309.59294927637006</v>
      </c>
      <c r="I41" s="171">
        <f t="shared" si="9"/>
        <v>159.1168735792742</v>
      </c>
      <c r="J41" s="171">
        <f t="shared" si="9"/>
        <v>159.26998905401373</v>
      </c>
      <c r="K41" s="171">
        <f t="shared" si="9"/>
        <v>167.482367993194</v>
      </c>
    </row>
    <row r="42" spans="2:11" s="42" customFormat="1" ht="13.8" x14ac:dyDescent="0.3">
      <c r="F42" s="146"/>
      <c r="G42" s="146"/>
      <c r="H42" s="146"/>
      <c r="I42" s="146"/>
      <c r="J42" s="146"/>
      <c r="K42" s="146"/>
    </row>
    <row r="43" spans="2:11" s="95" customFormat="1" ht="13.8" x14ac:dyDescent="0.3">
      <c r="B43" s="95" t="s">
        <v>101</v>
      </c>
      <c r="F43" s="178">
        <f>Balans!F13</f>
        <v>79</v>
      </c>
      <c r="G43" s="178">
        <f>Balans!G13</f>
        <v>135.34815871198646</v>
      </c>
      <c r="H43" s="178">
        <f>Balans!H13</f>
        <v>309.59294927637006</v>
      </c>
      <c r="I43" s="178">
        <f>Balans!I13</f>
        <v>159.11687357927406</v>
      </c>
      <c r="J43" s="178">
        <f>Balans!J13</f>
        <v>159.26998905401376</v>
      </c>
      <c r="K43" s="178">
        <f>Balans!K13</f>
        <v>167.48236799319409</v>
      </c>
    </row>
    <row r="44" spans="2:11" s="95" customFormat="1" ht="13.8" x14ac:dyDescent="0.3">
      <c r="B44" s="95" t="s">
        <v>16</v>
      </c>
      <c r="F44" s="178">
        <f>ROUND(F41,4)-ROUND(F43,4)</f>
        <v>0</v>
      </c>
      <c r="G44" s="178">
        <f t="shared" ref="G44:K44" si="10">ROUND(G41,4)-ROUND(G43,4)</f>
        <v>0</v>
      </c>
      <c r="H44" s="178">
        <f t="shared" si="10"/>
        <v>0</v>
      </c>
      <c r="I44" s="178">
        <f t="shared" si="10"/>
        <v>0</v>
      </c>
      <c r="J44" s="178">
        <f t="shared" si="10"/>
        <v>0</v>
      </c>
      <c r="K44" s="178">
        <f t="shared" si="10"/>
        <v>0</v>
      </c>
    </row>
    <row r="45" spans="2:11" s="42" customFormat="1" ht="13.8" x14ac:dyDescent="0.3">
      <c r="F45" s="146"/>
      <c r="G45" s="146"/>
      <c r="H45" s="146"/>
      <c r="I45" s="146"/>
      <c r="J45" s="146"/>
      <c r="K45" s="146"/>
    </row>
    <row r="46" spans="2:11" s="42" customFormat="1" ht="13.8" x14ac:dyDescent="0.3">
      <c r="F46" s="146"/>
      <c r="G46" s="146"/>
      <c r="H46" s="146"/>
      <c r="I46" s="146"/>
      <c r="J46" s="146"/>
      <c r="K46" s="146"/>
    </row>
    <row r="47" spans="2:11" x14ac:dyDescent="0.3">
      <c r="F47" s="143"/>
      <c r="G47" s="143"/>
      <c r="H47" s="143"/>
      <c r="I47" s="143"/>
      <c r="J47" s="143"/>
      <c r="K47" s="143"/>
    </row>
    <row r="48" spans="2:11" x14ac:dyDescent="0.3">
      <c r="F48" s="143"/>
      <c r="G48" s="143"/>
      <c r="H48" s="143"/>
      <c r="I48" s="143"/>
      <c r="J48" s="143"/>
      <c r="K48" s="143"/>
    </row>
    <row r="49" spans="6:11" x14ac:dyDescent="0.3">
      <c r="F49" s="143"/>
      <c r="G49" s="143"/>
      <c r="H49" s="143"/>
      <c r="I49" s="143"/>
      <c r="J49" s="143"/>
      <c r="K49" s="143"/>
    </row>
    <row r="50" spans="6:11" x14ac:dyDescent="0.3">
      <c r="F50" s="143"/>
      <c r="G50" s="143"/>
      <c r="H50" s="143"/>
      <c r="I50" s="143"/>
      <c r="J50" s="143"/>
      <c r="K50" s="143"/>
    </row>
    <row r="51" spans="6:11" x14ac:dyDescent="0.3">
      <c r="F51" s="143"/>
      <c r="G51" s="143"/>
      <c r="H51" s="143"/>
      <c r="I51" s="143"/>
      <c r="J51" s="143"/>
      <c r="K51" s="143"/>
    </row>
    <row r="52" spans="6:11" x14ac:dyDescent="0.3">
      <c r="F52" s="143"/>
      <c r="G52" s="143"/>
      <c r="H52" s="143"/>
      <c r="I52" s="143"/>
      <c r="J52" s="143"/>
      <c r="K52" s="143"/>
    </row>
    <row r="53" spans="6:11" x14ac:dyDescent="0.3">
      <c r="F53" s="143"/>
      <c r="G53" s="143"/>
      <c r="H53" s="143"/>
      <c r="I53" s="143"/>
      <c r="J53" s="143"/>
      <c r="K53" s="143"/>
    </row>
    <row r="54" spans="6:11" x14ac:dyDescent="0.3">
      <c r="F54" s="143"/>
      <c r="G54" s="143"/>
      <c r="H54" s="143"/>
      <c r="I54" s="143"/>
      <c r="J54" s="143"/>
      <c r="K54" s="143"/>
    </row>
    <row r="55" spans="6:11" x14ac:dyDescent="0.3">
      <c r="F55" s="143"/>
      <c r="G55" s="143"/>
      <c r="H55" s="143"/>
      <c r="I55" s="143"/>
      <c r="J55" s="143"/>
      <c r="K55" s="143"/>
    </row>
  </sheetData>
  <conditionalFormatting sqref="E4:K4">
    <cfRule type="expression" dxfId="28" priority="3">
      <formula>E4="CHECK"</formula>
    </cfRule>
  </conditionalFormatting>
  <conditionalFormatting sqref="F44:K44">
    <cfRule type="expression" dxfId="27" priority="4">
      <formula>F44&lt;&gt;0</formula>
    </cfRule>
  </conditionalFormatting>
  <conditionalFormatting sqref="O2">
    <cfRule type="cellIs" dxfId="26" priority="1" operator="notEqual">
      <formula>0</formula>
    </cfRule>
    <cfRule type="cellIs" dxfId="25" priority="2" operator="equal">
      <formula>0</formula>
    </cfRule>
  </conditionalFormatting>
  <pageMargins left="0.7" right="0.7" top="0.75" bottom="0.75" header="0.3" footer="0.3"/>
  <pageSetup paperSize="9" scale="85"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21D72-DEC5-4B9B-8A58-B65ADECBA315}">
  <sheetPr>
    <pageSetUpPr fitToPage="1"/>
  </sheetPr>
  <dimension ref="B1:O80"/>
  <sheetViews>
    <sheetView showGridLines="0" zoomScale="90" zoomScaleNormal="90" workbookViewId="0">
      <pane ySplit="5" topLeftCell="A6" activePane="bottomLeft" state="frozen"/>
      <selection sqref="A1:XFD1"/>
      <selection pane="bottomLeft"/>
    </sheetView>
  </sheetViews>
  <sheetFormatPr defaultRowHeight="14.4" outlineLevelRow="1" x14ac:dyDescent="0.3"/>
  <cols>
    <col min="1" max="1" width="2.21875" customWidth="1"/>
    <col min="2" max="2" width="30.5546875" customWidth="1"/>
    <col min="3" max="3" width="3.5546875" customWidth="1"/>
    <col min="4" max="4" width="2.21875" customWidth="1"/>
    <col min="5" max="11" width="8.77734375" customWidth="1"/>
    <col min="12" max="15" width="8.88671875" style="4"/>
  </cols>
  <sheetData>
    <row r="1" spans="2:15" x14ac:dyDescent="0.3">
      <c r="K1" s="13" t="s">
        <v>28</v>
      </c>
    </row>
    <row r="2" spans="2:15" ht="15.6" x14ac:dyDescent="0.3">
      <c r="B2" s="12" t="s">
        <v>105</v>
      </c>
      <c r="C2" s="9"/>
      <c r="D2" s="9"/>
      <c r="E2" s="10"/>
      <c r="K2" s="13"/>
      <c r="M2" s="25" t="s">
        <v>390</v>
      </c>
      <c r="N2" s="25"/>
      <c r="O2" s="169">
        <f>ErrorChecks!A5</f>
        <v>0</v>
      </c>
    </row>
    <row r="4" spans="2:15" x14ac:dyDescent="0.3">
      <c r="B4" s="11" t="s">
        <v>387</v>
      </c>
      <c r="C4" s="3"/>
      <c r="D4" s="3"/>
    </row>
    <row r="5" spans="2:15" s="44" customFormat="1" ht="13.8" x14ac:dyDescent="0.3">
      <c r="B5" s="126" t="s">
        <v>105</v>
      </c>
      <c r="C5" s="127"/>
      <c r="D5" s="126"/>
      <c r="E5" s="127" t="str">
        <f>RR!E5</f>
        <v>R 2024</v>
      </c>
      <c r="F5" s="127" t="str">
        <f>RR!F5</f>
        <v>R 2025</v>
      </c>
      <c r="G5" s="127" t="str">
        <f>RR!G5</f>
        <v>P 2026</v>
      </c>
      <c r="H5" s="127" t="str">
        <f>RR!H5</f>
        <v>P 2027</v>
      </c>
      <c r="I5" s="127" t="str">
        <f>RR!I5</f>
        <v>P 2028</v>
      </c>
      <c r="J5" s="127" t="str">
        <f>RR!J5</f>
        <v>P 2029</v>
      </c>
      <c r="K5" s="127" t="str">
        <f>RR!K5</f>
        <v>P 2030</v>
      </c>
      <c r="L5" s="57"/>
      <c r="M5" s="57"/>
      <c r="N5" s="57"/>
      <c r="O5" s="57"/>
    </row>
    <row r="6" spans="2:15" s="42" customFormat="1" ht="13.8" outlineLevel="1" x14ac:dyDescent="0.3">
      <c r="E6" s="49"/>
      <c r="F6" s="49"/>
      <c r="G6" s="49"/>
      <c r="H6" s="49"/>
      <c r="I6" s="49"/>
      <c r="J6" s="49"/>
      <c r="K6" s="49"/>
    </row>
    <row r="7" spans="2:15" s="42" customFormat="1" ht="13.8" outlineLevel="1" x14ac:dyDescent="0.3">
      <c r="B7" s="107" t="s">
        <v>121</v>
      </c>
      <c r="E7" s="49"/>
      <c r="F7" s="49"/>
      <c r="G7" s="49"/>
      <c r="H7" s="49"/>
      <c r="I7" s="49"/>
      <c r="J7" s="49"/>
      <c r="K7" s="49"/>
    </row>
    <row r="8" spans="2:15" s="42" customFormat="1" ht="13.8" outlineLevel="1" x14ac:dyDescent="0.3">
      <c r="B8" s="102" t="s">
        <v>228</v>
      </c>
      <c r="E8" s="85">
        <f>'2. Prognose RR'!E8</f>
        <v>1200</v>
      </c>
      <c r="F8" s="85">
        <f>'2. Prognose RR'!F8</f>
        <v>1200</v>
      </c>
      <c r="G8" s="85">
        <f>'2. Prognose RR'!G8</f>
        <v>1200</v>
      </c>
      <c r="H8" s="85">
        <f>'2. Prognose RR'!H8</f>
        <v>1300</v>
      </c>
      <c r="I8" s="85">
        <f>'2. Prognose RR'!I8</f>
        <v>1400</v>
      </c>
      <c r="J8" s="85">
        <f>'2. Prognose RR'!J8</f>
        <v>1500</v>
      </c>
      <c r="K8" s="85">
        <f>'2. Prognose RR'!K8</f>
        <v>1500</v>
      </c>
      <c r="L8" s="52"/>
      <c r="M8" s="52"/>
      <c r="N8" s="52"/>
      <c r="O8" s="52"/>
    </row>
    <row r="9" spans="2:15" s="42" customFormat="1" ht="13.8" outlineLevel="1" x14ac:dyDescent="0.3">
      <c r="B9" s="102" t="s">
        <v>386</v>
      </c>
      <c r="E9" s="198">
        <f>'2. Prognose RR'!E9</f>
        <v>416.66666666666669</v>
      </c>
      <c r="F9" s="198">
        <f>'2. Prognose RR'!F9</f>
        <v>380</v>
      </c>
      <c r="G9" s="198">
        <f>'2. Prognose RR'!G9</f>
        <v>387.6</v>
      </c>
      <c r="H9" s="198">
        <f>'2. Prognose RR'!H9</f>
        <v>395.35200000000003</v>
      </c>
      <c r="I9" s="198">
        <f>'2. Prognose RR'!I9</f>
        <v>403.25904000000003</v>
      </c>
      <c r="J9" s="198">
        <f>'2. Prognose RR'!J9</f>
        <v>411.32422080000003</v>
      </c>
      <c r="K9" s="198">
        <f>'2. Prognose RR'!K9</f>
        <v>419.55070521600004</v>
      </c>
    </row>
    <row r="10" spans="2:15" s="42" customFormat="1" ht="13.8" outlineLevel="1" x14ac:dyDescent="0.3">
      <c r="B10" s="102" t="s">
        <v>312</v>
      </c>
      <c r="E10" s="49"/>
      <c r="F10" s="108">
        <f>(RR!F7)/(RR!E7)-100%</f>
        <v>-8.4130019120458921E-2</v>
      </c>
      <c r="G10" s="108">
        <f>(RR!G7)/(RR!F7)-100%</f>
        <v>8.2630480167014797E-2</v>
      </c>
      <c r="H10" s="108">
        <f>(RR!H7)/(RR!G7)-100%</f>
        <v>3.7230128427629516E-2</v>
      </c>
      <c r="I10" s="108">
        <f>(RR!I7)/(RR!H7)-100%</f>
        <v>9.4970986460348072E-2</v>
      </c>
      <c r="J10" s="108">
        <f>(RR!J7)/(RR!I7)-100%</f>
        <v>8.983783783783772E-2</v>
      </c>
      <c r="K10" s="108">
        <f>(RR!K7)/(RR!J7)-100%</f>
        <v>2.0000000000000018E-2</v>
      </c>
    </row>
    <row r="11" spans="2:15" s="42" customFormat="1" ht="13.8" outlineLevel="1" x14ac:dyDescent="0.3">
      <c r="E11" s="87"/>
      <c r="F11" s="87"/>
      <c r="G11" s="87"/>
      <c r="H11" s="87"/>
      <c r="I11" s="87"/>
      <c r="J11" s="87"/>
      <c r="K11" s="87"/>
    </row>
    <row r="12" spans="2:15" s="42" customFormat="1" ht="13.8" outlineLevel="1" x14ac:dyDescent="0.3">
      <c r="B12" s="107" t="s">
        <v>119</v>
      </c>
      <c r="E12" s="67"/>
      <c r="F12" s="67"/>
      <c r="G12" s="67"/>
      <c r="H12" s="67"/>
      <c r="I12" s="67"/>
      <c r="J12" s="67"/>
      <c r="K12" s="67"/>
      <c r="L12" s="52"/>
      <c r="M12" s="52"/>
      <c r="N12" s="52"/>
      <c r="O12" s="52"/>
    </row>
    <row r="13" spans="2:15" s="42" customFormat="1" ht="13.8" outlineLevel="1" x14ac:dyDescent="0.3">
      <c r="B13" s="102" t="s">
        <v>382</v>
      </c>
      <c r="E13" s="47">
        <f>RR!E9/RR!E7</f>
        <v>0.42638623326959846</v>
      </c>
      <c r="F13" s="47">
        <f>RR!F9/RR!F7</f>
        <v>0.33194154488517746</v>
      </c>
      <c r="G13" s="47">
        <f>RR!G9/RR!G7</f>
        <v>0.46185352308226313</v>
      </c>
      <c r="H13" s="47">
        <f>RR!H9/RR!H7</f>
        <v>0.42669245647969056</v>
      </c>
      <c r="I13" s="47">
        <f>RR!I9/RR!I7</f>
        <v>0.42486486486486486</v>
      </c>
      <c r="J13" s="47">
        <f>RR!J9/RR!J7</f>
        <v>0.42327150084317028</v>
      </c>
      <c r="K13" s="47">
        <f>RR!K9/RR!K7</f>
        <v>0.42327150084317028</v>
      </c>
      <c r="L13" s="52"/>
      <c r="M13" s="88"/>
      <c r="N13" s="52"/>
      <c r="O13" s="52"/>
    </row>
    <row r="14" spans="2:15" s="42" customFormat="1" ht="13.8" outlineLevel="1" x14ac:dyDescent="0.3">
      <c r="B14" s="102" t="s">
        <v>29</v>
      </c>
      <c r="E14" s="146">
        <f>RR!E13</f>
        <v>113</v>
      </c>
      <c r="F14" s="146">
        <f>RR!F13</f>
        <v>35</v>
      </c>
      <c r="G14" s="146">
        <f>RR!G13</f>
        <v>123.60240000000005</v>
      </c>
      <c r="H14" s="146">
        <f>RR!H13</f>
        <v>84.248080000000044</v>
      </c>
      <c r="I14" s="146">
        <f>RR!I13</f>
        <v>97.78518624000003</v>
      </c>
      <c r="J14" s="146">
        <f>RR!J13</f>
        <v>121.62207749759995</v>
      </c>
      <c r="K14" s="146">
        <f>RR!K13</f>
        <v>124.05451904755193</v>
      </c>
      <c r="L14" s="52"/>
      <c r="M14" s="88"/>
      <c r="N14" s="52"/>
      <c r="O14" s="52"/>
    </row>
    <row r="15" spans="2:15" s="42" customFormat="1" ht="13.8" outlineLevel="1" x14ac:dyDescent="0.3">
      <c r="B15" s="102" t="s">
        <v>58</v>
      </c>
      <c r="E15" s="47">
        <f>RR!E13/(RR!E7)</f>
        <v>0.21606118546845124</v>
      </c>
      <c r="F15" s="47">
        <f>RR!F13/(RR!F7)</f>
        <v>7.3068893528183715E-2</v>
      </c>
      <c r="G15" s="47">
        <f>RR!G13/(RR!G7)</f>
        <v>0.23834779590419999</v>
      </c>
      <c r="H15" s="47">
        <f>RR!H13/(RR!H7)</f>
        <v>0.15662790014553254</v>
      </c>
      <c r="I15" s="47">
        <f>RR!I13/(RR!I7)</f>
        <v>0.16602732429152137</v>
      </c>
      <c r="J15" s="47">
        <f>RR!J13/(RR!J7)</f>
        <v>0.189477234401349</v>
      </c>
      <c r="K15" s="47">
        <f>RR!K13/(RR!K7)</f>
        <v>0.18947723440134898</v>
      </c>
      <c r="L15" s="52"/>
      <c r="M15" s="88" t="s">
        <v>126</v>
      </c>
      <c r="N15" s="52"/>
      <c r="O15" s="52"/>
    </row>
    <row r="16" spans="2:15" s="42" customFormat="1" ht="13.8" outlineLevel="1" x14ac:dyDescent="0.3">
      <c r="B16" s="102" t="s">
        <v>59</v>
      </c>
      <c r="E16" s="47">
        <f>RR!E16/(RR!E7)</f>
        <v>0.12045889101338432</v>
      </c>
      <c r="F16" s="47">
        <f>RR!F16/(RR!F7)</f>
        <v>-5.2192066805845511E-2</v>
      </c>
      <c r="G16" s="47">
        <f>RR!G16/(RR!G7)</f>
        <v>0.19996645782714342</v>
      </c>
      <c r="H16" s="47">
        <f>RR!H16/(RR!H7)</f>
        <v>0.11386797370747903</v>
      </c>
      <c r="I16" s="47">
        <f>RR!I16/(RR!I7)</f>
        <v>0.1032058353217184</v>
      </c>
      <c r="J16" s="47">
        <f>RR!J16/(RR!J7)</f>
        <v>0.12716051089197197</v>
      </c>
      <c r="K16" s="47">
        <f>RR!K16/(RR!K7)</f>
        <v>0.12838240743137153</v>
      </c>
      <c r="L16" s="52"/>
      <c r="M16" s="88" t="s">
        <v>125</v>
      </c>
      <c r="N16" s="52"/>
      <c r="O16" s="52"/>
    </row>
    <row r="17" spans="2:15" s="42" customFormat="1" ht="13.8" outlineLevel="1" x14ac:dyDescent="0.3">
      <c r="B17" s="102" t="s">
        <v>60</v>
      </c>
      <c r="E17" s="47">
        <f>RR!E25/(RR!E7)</f>
        <v>0.10516252390057361</v>
      </c>
      <c r="F17" s="47">
        <f>RR!F25/(RR!F7)</f>
        <v>1.2526096033402923E-2</v>
      </c>
      <c r="G17" s="47">
        <f>RR!G25/(RR!G7)</f>
        <v>0.1570759656658568</v>
      </c>
      <c r="H17" s="47">
        <f>RR!H25/(RR!H7)</f>
        <v>0.15065634627955179</v>
      </c>
      <c r="I17" s="47">
        <f>RR!I25/(RR!I7)</f>
        <v>7.1833214040419452E-2</v>
      </c>
      <c r="J17" s="47">
        <f>RR!J25/(RR!J7)</f>
        <v>0.10115415406969305</v>
      </c>
      <c r="K17" s="47">
        <f>RR!K25/(RR!K7)</f>
        <v>0.10410503421234295</v>
      </c>
      <c r="L17" s="52"/>
      <c r="M17" s="88" t="s">
        <v>124</v>
      </c>
      <c r="N17" s="52"/>
      <c r="O17" s="52"/>
    </row>
    <row r="18" spans="2:15" s="42" customFormat="1" ht="13.8" outlineLevel="1" x14ac:dyDescent="0.3">
      <c r="B18" s="102" t="s">
        <v>117</v>
      </c>
      <c r="E18" s="112"/>
      <c r="F18" s="112">
        <f>RR!F25/((Balans!E18+Balans!F18)/2)</f>
        <v>1.3937282229965157E-2</v>
      </c>
      <c r="G18" s="112">
        <f>RR!G25/((Balans!F18+Balans!G18)/2)</f>
        <v>0.17452652215740666</v>
      </c>
      <c r="H18" s="112">
        <f>RR!H25/((Balans!G18+Balans!H18)/2)</f>
        <v>0.15063179085381356</v>
      </c>
      <c r="I18" s="112">
        <f>RR!I25/((Balans!H18+Balans!I18)/2)</f>
        <v>7.2056380533772585E-2</v>
      </c>
      <c r="J18" s="112">
        <f>RR!J25/((Balans!I18+Balans!J18)/2)</f>
        <v>0.10417573768008712</v>
      </c>
      <c r="K18" s="112">
        <f>RR!K25/((Balans!J18+Balans!K18)/2)</f>
        <v>0.10175980922582079</v>
      </c>
      <c r="L18" s="52"/>
      <c r="M18" s="88" t="s">
        <v>118</v>
      </c>
      <c r="N18" s="52"/>
      <c r="O18" s="52"/>
    </row>
    <row r="19" spans="2:15" s="42" customFormat="1" ht="13.8" outlineLevel="1" x14ac:dyDescent="0.3">
      <c r="L19" s="52"/>
      <c r="M19" s="52"/>
      <c r="N19" s="52"/>
      <c r="O19" s="52"/>
    </row>
    <row r="20" spans="2:15" s="42" customFormat="1" ht="13.8" outlineLevel="1" x14ac:dyDescent="0.3">
      <c r="B20" s="107" t="s">
        <v>106</v>
      </c>
      <c r="L20" s="52"/>
      <c r="M20" s="52"/>
      <c r="N20" s="52"/>
      <c r="O20" s="52"/>
    </row>
    <row r="21" spans="2:15" s="42" customFormat="1" ht="13.8" outlineLevel="1" x14ac:dyDescent="0.3">
      <c r="B21" s="102" t="s">
        <v>107</v>
      </c>
      <c r="E21" s="46">
        <f>RR!E13/-RR!E21</f>
        <v>4.5199999999999996</v>
      </c>
      <c r="F21" s="46">
        <f>RR!F13/-RR!F21</f>
        <v>1.1666666666666667</v>
      </c>
      <c r="G21" s="46">
        <f>RR!G13/-RR!G21</f>
        <v>24.283379174852659</v>
      </c>
      <c r="H21" s="46">
        <f>RR!H13/-RR!H21</f>
        <v>11.701122222222228</v>
      </c>
      <c r="I21" s="46">
        <f>RR!I13/-RR!I21</f>
        <v>11.675843133134332</v>
      </c>
      <c r="J21" s="46">
        <f>RR!J13/-RR!J21</f>
        <v>24.083579702495037</v>
      </c>
      <c r="K21" s="46">
        <f>RR!K13/-RR!K21</f>
        <v>39.07228946379589</v>
      </c>
      <c r="L21" s="52"/>
      <c r="M21" s="88" t="s">
        <v>108</v>
      </c>
      <c r="N21" s="52"/>
      <c r="O21" s="52"/>
    </row>
    <row r="22" spans="2:15" s="42" customFormat="1" ht="13.8" outlineLevel="1" x14ac:dyDescent="0.3">
      <c r="B22" s="102" t="s">
        <v>109</v>
      </c>
      <c r="E22" s="46"/>
      <c r="F22" s="46">
        <f>RR!F13/(-RR!F21+'3. Prognose BS'!F102)</f>
        <v>0.875</v>
      </c>
      <c r="G22" s="46">
        <f>RR!G13/(-RR!G21+'3. Prognose BS'!G102)</f>
        <v>8.1910139165009976</v>
      </c>
      <c r="H22" s="46">
        <f>RR!H13/(-RR!H21+'3. Prognose BS'!H102)</f>
        <v>3.097355882352943</v>
      </c>
      <c r="I22" s="46">
        <f>RR!I13/(-RR!I21+'3. Prognose BS'!I102)</f>
        <v>2.0213991987596907</v>
      </c>
      <c r="J22" s="46">
        <f>RR!J13/(-RR!J21+'3. Prognose BS'!J102)</f>
        <v>3.4699594150527804</v>
      </c>
      <c r="K22" s="46">
        <f>RR!K13/(-RR!K21+'3. Prognose BS'!K102)</f>
        <v>2.8732951719178215</v>
      </c>
      <c r="L22" s="52"/>
      <c r="M22" s="88" t="s">
        <v>223</v>
      </c>
      <c r="N22" s="52"/>
      <c r="O22" s="52"/>
    </row>
    <row r="23" spans="2:15" s="42" customFormat="1" ht="13.8" outlineLevel="1" x14ac:dyDescent="0.3">
      <c r="B23" s="102" t="s">
        <v>110</v>
      </c>
      <c r="E23" s="46">
        <f>Balans!E14/Balans!E28</f>
        <v>2.3095238095238093</v>
      </c>
      <c r="F23" s="46">
        <f>Balans!F14/Balans!F28</f>
        <v>1.8571428571428572</v>
      </c>
      <c r="G23" s="46">
        <f>Balans!G14/Balans!G28</f>
        <v>2.6582897122280684</v>
      </c>
      <c r="H23" s="46">
        <f>Balans!H14/Balans!H28</f>
        <v>2.5156168670945731</v>
      </c>
      <c r="I23" s="46">
        <f>Balans!I14/Balans!I28</f>
        <v>1.8945013117486313</v>
      </c>
      <c r="J23" s="46">
        <f>Balans!J14/Balans!J28</f>
        <v>2.1198595358391361</v>
      </c>
      <c r="K23" s="46">
        <f>Balans!K14/Balans!K28</f>
        <v>2.4124371475800994</v>
      </c>
      <c r="L23" s="52"/>
      <c r="M23" s="88" t="s">
        <v>113</v>
      </c>
      <c r="N23" s="52"/>
      <c r="O23" s="52"/>
    </row>
    <row r="24" spans="2:15" s="42" customFormat="1" ht="13.8" outlineLevel="1" x14ac:dyDescent="0.3">
      <c r="B24" s="102" t="s">
        <v>111</v>
      </c>
      <c r="E24" s="146">
        <f>Balans!E14-Balans!E28</f>
        <v>110</v>
      </c>
      <c r="F24" s="146">
        <f>Balans!F14-Balans!F28</f>
        <v>72</v>
      </c>
      <c r="G24" s="146">
        <f>Balans!G14-Balans!G28</f>
        <v>113.36024857500014</v>
      </c>
      <c r="H24" s="146">
        <f>Balans!H14-Balans!H28</f>
        <v>217.39630857500021</v>
      </c>
      <c r="I24" s="146">
        <f>Balans!I14-Balans!I28</f>
        <v>101.70394825500009</v>
      </c>
      <c r="J24" s="146">
        <f>Balans!J14-Balans!J28</f>
        <v>116.63300637820009</v>
      </c>
      <c r="K24" s="146">
        <f>Balans!K14-Balans!K28</f>
        <v>134.79264566386411</v>
      </c>
      <c r="L24" s="52"/>
      <c r="M24" s="88" t="s">
        <v>114</v>
      </c>
      <c r="N24" s="52"/>
      <c r="O24" s="52"/>
    </row>
    <row r="25" spans="2:15" s="42" customFormat="1" ht="13.8" outlineLevel="1" x14ac:dyDescent="0.3">
      <c r="B25" s="102" t="s">
        <v>115</v>
      </c>
      <c r="E25" s="146">
        <f>Balans!E14-Balans!E13-Balans!E28+Balans!E25+Balans!E24</f>
        <v>20</v>
      </c>
      <c r="F25" s="146">
        <f>Balans!F14-Balans!F13-Balans!F28+Balans!F25+Balans!F24</f>
        <v>7</v>
      </c>
      <c r="G25" s="146">
        <f>Balans!G14-Balans!G13-Balans!G28+Balans!G25+Balans!G24</f>
        <v>-1.987910136986315</v>
      </c>
      <c r="H25" s="146">
        <f>Balans!H14-Balans!H13-Balans!H28+Balans!H25+Balans!H24</f>
        <v>-2.1966407013698586</v>
      </c>
      <c r="I25" s="146">
        <f>Balans!I14-Balans!I13-Balans!I28+Balans!I25+Balans!I24</f>
        <v>-2.4129253242739708</v>
      </c>
      <c r="J25" s="146">
        <f>Balans!J14-Balans!J13-Balans!J28+Balans!J25+Balans!J24</f>
        <v>-2.6369826758136696</v>
      </c>
      <c r="K25" s="146">
        <f>Balans!K14-Balans!K13-Balans!K28+Balans!K25+Balans!K24</f>
        <v>-2.6897223293299817</v>
      </c>
      <c r="L25" s="52"/>
      <c r="M25" s="88" t="s">
        <v>116</v>
      </c>
      <c r="N25" s="52"/>
      <c r="O25" s="52"/>
    </row>
    <row r="26" spans="2:15" s="42" customFormat="1" ht="13.8" outlineLevel="1" x14ac:dyDescent="0.3">
      <c r="L26" s="52"/>
      <c r="M26" s="52"/>
      <c r="N26" s="52"/>
      <c r="O26" s="52"/>
    </row>
    <row r="27" spans="2:15" s="42" customFormat="1" ht="13.8" outlineLevel="1" x14ac:dyDescent="0.3">
      <c r="B27" s="107" t="s">
        <v>122</v>
      </c>
      <c r="L27" s="52"/>
      <c r="M27" s="52"/>
      <c r="N27" s="52"/>
      <c r="O27" s="52"/>
    </row>
    <row r="28" spans="2:15" s="42" customFormat="1" ht="13.8" outlineLevel="1" x14ac:dyDescent="0.3">
      <c r="B28" s="102" t="s">
        <v>120</v>
      </c>
      <c r="E28" s="47"/>
      <c r="F28" s="47">
        <f>((Balans!F18+Balans!E18)/2)/((Balans!F30+Balans!E30)/2)</f>
        <v>0.67795275590551185</v>
      </c>
      <c r="G28" s="47">
        <f>((Balans!G18+Balans!F18)/2)/((Balans!G30+Balans!F30)/2)</f>
        <v>0.71925166334055901</v>
      </c>
      <c r="H28" s="47">
        <f>((Balans!H18+Balans!G18)/2)/((Balans!H30+Balans!G30)/2)</f>
        <v>0.70335128668123537</v>
      </c>
      <c r="I28" s="47">
        <f>((Balans!I18+Balans!H18)/2)/((Balans!I30+Balans!H30)/2)</f>
        <v>0.69755986758850441</v>
      </c>
      <c r="J28" s="47">
        <f>((Balans!J18+Balans!I18)/2)/((Balans!J30+Balans!I30)/2)</f>
        <v>0.75256330299070551</v>
      </c>
      <c r="K28" s="47">
        <f>((Balans!K18+Balans!J18)/2)/((Balans!K30+Balans!J30)/2)</f>
        <v>0.80159031696463945</v>
      </c>
      <c r="L28" s="52"/>
      <c r="M28" s="88" t="s">
        <v>123</v>
      </c>
      <c r="N28" s="52"/>
      <c r="O28" s="52"/>
    </row>
    <row r="29" spans="2:15" s="42" customFormat="1" ht="13.8" x14ac:dyDescent="0.3">
      <c r="L29" s="52"/>
      <c r="M29" s="52"/>
      <c r="N29" s="52"/>
      <c r="O29" s="52"/>
    </row>
    <row r="30" spans="2:15" s="44" customFormat="1" ht="13.8" x14ac:dyDescent="0.3">
      <c r="B30" s="126" t="s">
        <v>63</v>
      </c>
      <c r="C30" s="127"/>
      <c r="D30" s="126"/>
      <c r="E30" s="127" t="str">
        <f>E5</f>
        <v>R 2024</v>
      </c>
      <c r="F30" s="127" t="str">
        <f t="shared" ref="F30:K30" si="0">F5</f>
        <v>R 2025</v>
      </c>
      <c r="G30" s="127" t="str">
        <f t="shared" si="0"/>
        <v>P 2026</v>
      </c>
      <c r="H30" s="127" t="str">
        <f t="shared" si="0"/>
        <v>P 2027</v>
      </c>
      <c r="I30" s="127" t="str">
        <f t="shared" si="0"/>
        <v>P 2028</v>
      </c>
      <c r="J30" s="127" t="str">
        <f t="shared" si="0"/>
        <v>P 2029</v>
      </c>
      <c r="K30" s="127" t="str">
        <f t="shared" si="0"/>
        <v>P 2030</v>
      </c>
      <c r="L30" s="57"/>
      <c r="M30" s="57"/>
      <c r="N30" s="57"/>
      <c r="O30" s="57"/>
    </row>
    <row r="31" spans="2:15" s="42" customFormat="1" ht="13.8" outlineLevel="1" x14ac:dyDescent="0.3">
      <c r="E31" s="49"/>
      <c r="F31" s="49"/>
      <c r="G31" s="49"/>
      <c r="H31" s="49"/>
      <c r="I31" s="49"/>
      <c r="J31" s="49"/>
      <c r="K31" s="49"/>
    </row>
    <row r="32" spans="2:15" s="42" customFormat="1" ht="13.8" outlineLevel="1" x14ac:dyDescent="0.3">
      <c r="B32" s="42" t="s">
        <v>215</v>
      </c>
      <c r="E32" s="109">
        <f>RR!E7/RR!E$7</f>
        <v>1</v>
      </c>
      <c r="F32" s="109">
        <f>RR!F7/RR!F$7</f>
        <v>1</v>
      </c>
      <c r="G32" s="109">
        <f>RR!G7/RR!G$7</f>
        <v>1</v>
      </c>
      <c r="H32" s="109">
        <f>RR!H7/RR!H$7</f>
        <v>1</v>
      </c>
      <c r="I32" s="109">
        <f>RR!I7/RR!I$7</f>
        <v>1</v>
      </c>
      <c r="J32" s="109">
        <f>RR!J7/RR!J$7</f>
        <v>1</v>
      </c>
      <c r="K32" s="109">
        <f>RR!K7/RR!K$7</f>
        <v>1</v>
      </c>
      <c r="M32" s="42" t="s">
        <v>388</v>
      </c>
    </row>
    <row r="33" spans="2:11" s="42" customFormat="1" ht="13.8" outlineLevel="1" x14ac:dyDescent="0.3">
      <c r="B33" s="42" t="s">
        <v>389</v>
      </c>
      <c r="E33" s="109">
        <f>RR!E8/RR!E$7</f>
        <v>-0.57361376673040154</v>
      </c>
      <c r="F33" s="109">
        <f>RR!F8/RR!F$7</f>
        <v>-0.66805845511482254</v>
      </c>
      <c r="G33" s="109">
        <f>RR!G8/RR!G$7</f>
        <v>-0.53814647691773687</v>
      </c>
      <c r="H33" s="109">
        <f>RR!H8/RR!H$7</f>
        <v>-0.57330754352030944</v>
      </c>
      <c r="I33" s="109">
        <f>RR!I8/RR!I$7</f>
        <v>-0.57513513513513514</v>
      </c>
      <c r="J33" s="109">
        <f>RR!J8/RR!J$7</f>
        <v>-0.57672849915682978</v>
      </c>
      <c r="K33" s="109">
        <f>RR!K8/RR!K$7</f>
        <v>-0.57672849915682978</v>
      </c>
    </row>
    <row r="34" spans="2:11" s="44" customFormat="1" ht="13.8" outlineLevel="1" x14ac:dyDescent="0.3">
      <c r="B34" s="44" t="s">
        <v>351</v>
      </c>
      <c r="E34" s="110">
        <f>RR!E9/RR!E$7</f>
        <v>0.42638623326959846</v>
      </c>
      <c r="F34" s="110">
        <f>RR!F9/RR!F$7</f>
        <v>0.33194154488517746</v>
      </c>
      <c r="G34" s="110">
        <f>RR!G9/RR!G$7</f>
        <v>0.46185352308226313</v>
      </c>
      <c r="H34" s="110">
        <f>RR!H9/RR!H$7</f>
        <v>0.42669245647969056</v>
      </c>
      <c r="I34" s="110">
        <f>RR!I9/RR!I$7</f>
        <v>0.42486486486486486</v>
      </c>
      <c r="J34" s="110">
        <f>RR!J9/RR!J$7</f>
        <v>0.42327150084317028</v>
      </c>
      <c r="K34" s="110">
        <f>RR!K9/RR!K$7</f>
        <v>0.42327150084317028</v>
      </c>
    </row>
    <row r="35" spans="2:11" s="42" customFormat="1" ht="13.8" outlineLevel="1" x14ac:dyDescent="0.3">
      <c r="E35" s="109"/>
      <c r="F35" s="109"/>
      <c r="G35" s="109"/>
      <c r="H35" s="109"/>
      <c r="I35" s="109"/>
      <c r="J35" s="109"/>
      <c r="K35" s="109"/>
    </row>
    <row r="36" spans="2:11" s="42" customFormat="1" ht="13.8" outlineLevel="1" x14ac:dyDescent="0.3">
      <c r="B36" s="42" t="s">
        <v>303</v>
      </c>
      <c r="E36" s="109">
        <f>RR!E11/RR!E$7</f>
        <v>-0.14340344168260039</v>
      </c>
      <c r="F36" s="109">
        <f>RR!F11/RR!F$7</f>
        <v>-0.162839248434238</v>
      </c>
      <c r="G36" s="109">
        <f>RR!G11/RR!G$7</f>
        <v>-0.14350572717806317</v>
      </c>
      <c r="H36" s="109">
        <f>RR!H11/RR!H$7</f>
        <v>-0.19006455633415803</v>
      </c>
      <c r="I36" s="109">
        <f>RR!I11/RR!I$7</f>
        <v>-0.15336936936936937</v>
      </c>
      <c r="J36" s="109">
        <f>RR!J11/RR!J$7</f>
        <v>-0.15379426644182126</v>
      </c>
      <c r="K36" s="109">
        <f>RR!K11/RR!K$7</f>
        <v>-0.15379426644182129</v>
      </c>
    </row>
    <row r="37" spans="2:11" s="42" customFormat="1" ht="13.8" outlineLevel="1" x14ac:dyDescent="0.3">
      <c r="B37" s="42" t="s">
        <v>304</v>
      </c>
      <c r="E37" s="109">
        <f>RR!E12/RR!E$7</f>
        <v>-6.6921606118546847E-2</v>
      </c>
      <c r="F37" s="109">
        <f>RR!F12/RR!F$7</f>
        <v>-9.6033402922755737E-2</v>
      </c>
      <c r="G37" s="109">
        <f>RR!G12/RR!G$7</f>
        <v>-0.08</v>
      </c>
      <c r="H37" s="109">
        <f>RR!H12/RR!H$7</f>
        <v>-0.08</v>
      </c>
      <c r="I37" s="109">
        <f>RR!I12/RR!I$7</f>
        <v>-0.10546817120397417</v>
      </c>
      <c r="J37" s="109">
        <f>RR!J12/RR!J$7</f>
        <v>-0.08</v>
      </c>
      <c r="K37" s="109">
        <f>RR!K12/RR!K$7</f>
        <v>-0.08</v>
      </c>
    </row>
    <row r="38" spans="2:11" s="44" customFormat="1" ht="13.8" outlineLevel="1" x14ac:dyDescent="0.3">
      <c r="B38" s="44" t="s">
        <v>29</v>
      </c>
      <c r="E38" s="110">
        <f>RR!E13/RR!E$7</f>
        <v>0.21606118546845124</v>
      </c>
      <c r="F38" s="110">
        <f>RR!F13/RR!F$7</f>
        <v>7.3068893528183715E-2</v>
      </c>
      <c r="G38" s="110">
        <f>RR!G13/RR!G$7</f>
        <v>0.23834779590419999</v>
      </c>
      <c r="H38" s="110">
        <f>RR!H13/RR!H$7</f>
        <v>0.15662790014553254</v>
      </c>
      <c r="I38" s="110">
        <f>RR!I13/RR!I$7</f>
        <v>0.16602732429152137</v>
      </c>
      <c r="J38" s="110">
        <f>RR!J13/RR!J$7</f>
        <v>0.189477234401349</v>
      </c>
      <c r="K38" s="110">
        <f>RR!K13/RR!K$7</f>
        <v>0.18947723440134898</v>
      </c>
    </row>
    <row r="39" spans="2:11" s="42" customFormat="1" ht="13.8" outlineLevel="1" x14ac:dyDescent="0.3">
      <c r="E39" s="109"/>
      <c r="F39" s="109"/>
      <c r="G39" s="109"/>
      <c r="H39" s="109"/>
      <c r="I39" s="109"/>
      <c r="J39" s="109"/>
      <c r="K39" s="109"/>
    </row>
    <row r="40" spans="2:11" s="42" customFormat="1" ht="13.8" outlineLevel="1" x14ac:dyDescent="0.3">
      <c r="B40" s="42" t="s">
        <v>305</v>
      </c>
      <c r="E40" s="109">
        <f>RR!E15/RR!E$7</f>
        <v>-9.5602294455066919E-2</v>
      </c>
      <c r="F40" s="109">
        <f>RR!F15/RR!F$7</f>
        <v>-0.12526096033402923</v>
      </c>
      <c r="G40" s="109">
        <f>RR!G15/RR!G$7</f>
        <v>-3.8381338077056577E-2</v>
      </c>
      <c r="H40" s="109">
        <f>RR!H15/RR!H$7</f>
        <v>-4.27599264380535E-2</v>
      </c>
      <c r="I40" s="109">
        <f>RR!I15/RR!I$7</f>
        <v>-6.2821488969802955E-2</v>
      </c>
      <c r="J40" s="109">
        <f>RR!J15/RR!J$7</f>
        <v>-6.2316723509377017E-2</v>
      </c>
      <c r="K40" s="109">
        <f>RR!K15/RR!K$7</f>
        <v>-6.1094826969977464E-2</v>
      </c>
    </row>
    <row r="41" spans="2:11" s="42" customFormat="1" ht="13.8" outlineLevel="1" x14ac:dyDescent="0.3">
      <c r="B41" s="44" t="s">
        <v>56</v>
      </c>
      <c r="E41" s="110">
        <f>RR!E16/RR!E$7</f>
        <v>0.12045889101338432</v>
      </c>
      <c r="F41" s="110">
        <f>RR!F16/RR!F$7</f>
        <v>-5.2192066805845511E-2</v>
      </c>
      <c r="G41" s="110">
        <f>RR!G16/RR!G$7</f>
        <v>0.19996645782714342</v>
      </c>
      <c r="H41" s="110">
        <f>RR!H16/RR!H$7</f>
        <v>0.11386797370747903</v>
      </c>
      <c r="I41" s="110">
        <f>RR!I16/RR!I$7</f>
        <v>0.1032058353217184</v>
      </c>
      <c r="J41" s="110">
        <f>RR!J16/RR!J$7</f>
        <v>0.12716051089197197</v>
      </c>
      <c r="K41" s="110">
        <f>RR!K16/RR!K$7</f>
        <v>0.12838240743137153</v>
      </c>
    </row>
    <row r="42" spans="2:11" s="42" customFormat="1" ht="13.8" outlineLevel="1" x14ac:dyDescent="0.3">
      <c r="E42" s="109"/>
      <c r="F42" s="109"/>
      <c r="G42" s="109"/>
      <c r="H42" s="109"/>
      <c r="I42" s="109"/>
      <c r="J42" s="109"/>
      <c r="K42" s="109"/>
    </row>
    <row r="43" spans="2:11" s="42" customFormat="1" ht="13.8" outlineLevel="1" x14ac:dyDescent="0.3">
      <c r="B43" s="42" t="s">
        <v>148</v>
      </c>
      <c r="E43" s="109">
        <f>RR!E18/RR!E$7</f>
        <v>4.780114722753346E-2</v>
      </c>
      <c r="F43" s="109">
        <f>RR!F18/RR!F$7</f>
        <v>2.5052192066805846E-2</v>
      </c>
      <c r="G43" s="109">
        <f>RR!G18/RR!G$7</f>
        <v>0</v>
      </c>
      <c r="H43" s="109">
        <f>RR!H18/RR!H$7</f>
        <v>7.4365089457484351E-2</v>
      </c>
      <c r="I43" s="109">
        <f>RR!I18/RR!I$7</f>
        <v>0</v>
      </c>
      <c r="J43" s="109">
        <f>RR!J18/RR!J$7</f>
        <v>0</v>
      </c>
      <c r="K43" s="109">
        <f>RR!K18/RR!K$7</f>
        <v>0</v>
      </c>
    </row>
    <row r="44" spans="2:11" s="42" customFormat="1" ht="13.8" outlineLevel="1" x14ac:dyDescent="0.3">
      <c r="B44" s="42" t="s">
        <v>39</v>
      </c>
      <c r="E44" s="109">
        <f>RR!E19/RR!E$7</f>
        <v>0</v>
      </c>
      <c r="F44" s="109">
        <f>RR!F19/RR!F$7</f>
        <v>8.3507306889352817E-2</v>
      </c>
      <c r="G44" s="109">
        <f>RR!G19/RR!G$7</f>
        <v>0</v>
      </c>
      <c r="H44" s="109">
        <f>RR!H19/RR!H$7</f>
        <v>7.436508945748435E-3</v>
      </c>
      <c r="I44" s="109">
        <f>RR!I19/RR!I$7</f>
        <v>-1.0187268481589669E-2</v>
      </c>
      <c r="J44" s="109">
        <f>RR!J19/RR!J$7</f>
        <v>0</v>
      </c>
      <c r="K44" s="109">
        <f>RR!K19/RR!K$7</f>
        <v>0</v>
      </c>
    </row>
    <row r="45" spans="2:11" s="42" customFormat="1" ht="13.8" outlineLevel="1" x14ac:dyDescent="0.3">
      <c r="B45" s="42" t="s">
        <v>47</v>
      </c>
      <c r="E45" s="109">
        <f>RR!E20/RR!E$7</f>
        <v>2.2944550669216062E-2</v>
      </c>
      <c r="F45" s="109">
        <f>RR!F20/RR!F$7</f>
        <v>2.5052192066805846E-2</v>
      </c>
      <c r="G45" s="109">
        <f>RR!G20/RR!G$7</f>
        <v>1.9283427822129662E-2</v>
      </c>
      <c r="H45" s="109">
        <f>RR!H20/RR!H$7</f>
        <v>1.8591272364371088E-2</v>
      </c>
      <c r="I45" s="109">
        <f>RR!I20/RR!I$7</f>
        <v>1.6978780802649449E-2</v>
      </c>
      <c r="J45" s="109">
        <f>RR!J20/RR!J$7</f>
        <v>1.5579180877344254E-2</v>
      </c>
      <c r="K45" s="109">
        <f>RR!K20/RR!K$7</f>
        <v>1.5273706742494366E-2</v>
      </c>
    </row>
    <row r="46" spans="2:11" s="42" customFormat="1" ht="13.8" outlineLevel="1" x14ac:dyDescent="0.3">
      <c r="B46" s="42" t="s">
        <v>48</v>
      </c>
      <c r="E46" s="109">
        <f>RR!E21/RR!E$7</f>
        <v>-4.780114722753346E-2</v>
      </c>
      <c r="F46" s="109">
        <f>RR!F21/RR!F$7</f>
        <v>-6.2630480167014613E-2</v>
      </c>
      <c r="G46" s="109">
        <f>RR!G21/RR!G$7</f>
        <v>-9.8152647614639984E-3</v>
      </c>
      <c r="H46" s="109">
        <f>RR!H21/RR!H$7</f>
        <v>-1.3385716102347183E-2</v>
      </c>
      <c r="I46" s="109">
        <f>RR!I21/RR!I$7</f>
        <v>-1.4219728922218913E-2</v>
      </c>
      <c r="J46" s="109">
        <f>RR!J21/RR!J$7</f>
        <v>-7.8674863430588486E-3</v>
      </c>
      <c r="K46" s="109">
        <f>RR!K21/RR!K$7</f>
        <v>-4.8494018907419608E-3</v>
      </c>
    </row>
    <row r="47" spans="2:11" s="42" customFormat="1" ht="13.8" outlineLevel="1" x14ac:dyDescent="0.3">
      <c r="B47" s="44" t="s">
        <v>57</v>
      </c>
      <c r="E47" s="110">
        <f>RR!E22/RR!E$7</f>
        <v>0.14340344168260039</v>
      </c>
      <c r="F47" s="110">
        <f>RR!F22/RR!F$7</f>
        <v>1.8789144050104383E-2</v>
      </c>
      <c r="G47" s="110">
        <f>RR!G22/RR!G$7</f>
        <v>0.20943462088780909</v>
      </c>
      <c r="H47" s="110">
        <f>RR!H22/RR!H$7</f>
        <v>0.20087512837273572</v>
      </c>
      <c r="I47" s="110">
        <f>RR!I22/RR!I$7</f>
        <v>9.577761872055926E-2</v>
      </c>
      <c r="J47" s="110">
        <f>RR!J22/RR!J$7</f>
        <v>0.13487220542625739</v>
      </c>
      <c r="K47" s="110">
        <f>RR!K22/RR!K$7</f>
        <v>0.13880671228312391</v>
      </c>
    </row>
    <row r="48" spans="2:11" s="42" customFormat="1" ht="13.8" outlineLevel="1" x14ac:dyDescent="0.3">
      <c r="E48" s="109"/>
      <c r="F48" s="109"/>
      <c r="G48" s="109"/>
      <c r="H48" s="109"/>
      <c r="I48" s="109"/>
      <c r="J48" s="109"/>
      <c r="K48" s="109"/>
    </row>
    <row r="49" spans="2:15" s="42" customFormat="1" ht="13.8" outlineLevel="1" x14ac:dyDescent="0.3">
      <c r="B49" s="42" t="s">
        <v>5</v>
      </c>
      <c r="E49" s="109">
        <f>RR!E24/RR!E$7</f>
        <v>-3.8240917782026769E-2</v>
      </c>
      <c r="F49" s="109">
        <f>RR!F24/RR!F$7</f>
        <v>-6.2630480167014616E-3</v>
      </c>
      <c r="G49" s="109">
        <f>RR!G24/RR!G$7</f>
        <v>-5.2358655221952273E-2</v>
      </c>
      <c r="H49" s="109">
        <f>RR!H24/RR!H$7</f>
        <v>-5.0218782093183929E-2</v>
      </c>
      <c r="I49" s="109">
        <f>RR!I24/RR!I$7</f>
        <v>-2.3944404680139815E-2</v>
      </c>
      <c r="J49" s="109">
        <f>RR!J24/RR!J$7</f>
        <v>-3.3718051356564346E-2</v>
      </c>
      <c r="K49" s="109">
        <f>RR!K24/RR!K$7</f>
        <v>-3.4701678070780978E-2</v>
      </c>
    </row>
    <row r="50" spans="2:15" s="42" customFormat="1" outlineLevel="1" thickBot="1" x14ac:dyDescent="0.35">
      <c r="B50" s="44" t="s">
        <v>152</v>
      </c>
      <c r="E50" s="111">
        <f>RR!E25/RR!E$7</f>
        <v>0.10516252390057361</v>
      </c>
      <c r="F50" s="111">
        <f>RR!F25/RR!F$7</f>
        <v>1.2526096033402923E-2</v>
      </c>
      <c r="G50" s="111">
        <f>RR!G25/RR!G$7</f>
        <v>0.1570759656658568</v>
      </c>
      <c r="H50" s="111">
        <f>RR!H25/RR!H$7</f>
        <v>0.15065634627955179</v>
      </c>
      <c r="I50" s="111">
        <f>RR!I25/RR!I$7</f>
        <v>7.1833214040419452E-2</v>
      </c>
      <c r="J50" s="111">
        <f>RR!J25/RR!J$7</f>
        <v>0.10115415406969305</v>
      </c>
      <c r="K50" s="111">
        <f>RR!K25/RR!K$7</f>
        <v>0.10410503421234295</v>
      </c>
    </row>
    <row r="51" spans="2:15" s="42" customFormat="1" outlineLevel="1" thickTop="1" x14ac:dyDescent="0.3">
      <c r="E51" s="49"/>
      <c r="F51" s="49"/>
      <c r="G51" s="49"/>
      <c r="H51" s="49"/>
      <c r="I51" s="49"/>
      <c r="J51" s="49"/>
      <c r="K51" s="49"/>
    </row>
    <row r="52" spans="2:15" s="42" customFormat="1" ht="13.8" x14ac:dyDescent="0.3">
      <c r="L52" s="52"/>
      <c r="M52" s="52"/>
      <c r="N52" s="52"/>
      <c r="O52" s="52"/>
    </row>
    <row r="53" spans="2:15" s="42" customFormat="1" ht="13.8" x14ac:dyDescent="0.3">
      <c r="B53" s="126" t="s">
        <v>127</v>
      </c>
      <c r="C53" s="127"/>
      <c r="D53" s="126"/>
      <c r="E53" s="127" t="str">
        <f t="shared" ref="E53:K53" si="1">E5</f>
        <v>R 2024</v>
      </c>
      <c r="F53" s="127" t="str">
        <f t="shared" si="1"/>
        <v>R 2025</v>
      </c>
      <c r="G53" s="127" t="str">
        <f t="shared" si="1"/>
        <v>P 2026</v>
      </c>
      <c r="H53" s="127" t="str">
        <f t="shared" si="1"/>
        <v>P 2027</v>
      </c>
      <c r="I53" s="127" t="str">
        <f t="shared" si="1"/>
        <v>P 2028</v>
      </c>
      <c r="J53" s="127" t="str">
        <f t="shared" si="1"/>
        <v>P 2029</v>
      </c>
      <c r="K53" s="127" t="str">
        <f t="shared" si="1"/>
        <v>P 2030</v>
      </c>
      <c r="L53" s="52"/>
      <c r="M53" s="52"/>
      <c r="N53" s="52"/>
      <c r="O53" s="52"/>
    </row>
    <row r="54" spans="2:15" s="42" customFormat="1" ht="13.8" outlineLevel="1" x14ac:dyDescent="0.3">
      <c r="L54" s="52"/>
      <c r="M54" s="52"/>
      <c r="N54" s="52"/>
      <c r="O54" s="52"/>
    </row>
    <row r="55" spans="2:15" s="42" customFormat="1" ht="13.8" outlineLevel="1" x14ac:dyDescent="0.3">
      <c r="B55" s="52" t="str">
        <f>Balans!B7</f>
        <v>Materiële Vaste Activa</v>
      </c>
      <c r="C55" s="52"/>
      <c r="D55" s="52"/>
      <c r="E55" s="89">
        <f>Balans!E7/Balans!E$16</f>
        <v>0.69875776397515532</v>
      </c>
      <c r="F55" s="89">
        <f>Balans!F7/Balans!F$16</f>
        <v>0.75079872204472842</v>
      </c>
      <c r="G55" s="89">
        <f>Balans!G7/Balans!G$16</f>
        <v>0.72950936889429341</v>
      </c>
      <c r="H55" s="89">
        <f>Balans!H7/Balans!H$16</f>
        <v>0.57941346263663462</v>
      </c>
      <c r="I55" s="89">
        <f>Balans!I7/Balans!I$16</f>
        <v>0.73906334942286744</v>
      </c>
      <c r="J55" s="89">
        <f>Balans!J7/Balans!J$16</f>
        <v>0.73427814258053392</v>
      </c>
      <c r="K55" s="89">
        <f>Balans!K7/Balans!K$16</f>
        <v>0.72602711163915012</v>
      </c>
      <c r="L55" s="52"/>
      <c r="M55" s="52" t="s">
        <v>128</v>
      </c>
      <c r="N55" s="52"/>
      <c r="O55" s="52"/>
    </row>
    <row r="56" spans="2:15" s="42" customFormat="1" ht="13.8" outlineLevel="1" x14ac:dyDescent="0.3">
      <c r="B56" s="53" t="str">
        <f>Balans!B8</f>
        <v>Vaste Activa</v>
      </c>
      <c r="C56" s="53"/>
      <c r="D56" s="53"/>
      <c r="E56" s="90">
        <f>Balans!E8/Balans!E$16</f>
        <v>0.69875776397515532</v>
      </c>
      <c r="F56" s="90">
        <f>Balans!F8/Balans!F$16</f>
        <v>0.75079872204472842</v>
      </c>
      <c r="G56" s="90">
        <f>Balans!G8/Balans!G$16</f>
        <v>0.72950936889429341</v>
      </c>
      <c r="H56" s="90">
        <f>Balans!H8/Balans!H$16</f>
        <v>0.57941346263663462</v>
      </c>
      <c r="I56" s="90">
        <f>Balans!I8/Balans!I$16</f>
        <v>0.73906334942286744</v>
      </c>
      <c r="J56" s="90">
        <f>Balans!J8/Balans!J$16</f>
        <v>0.73427814258053392</v>
      </c>
      <c r="K56" s="90">
        <f>Balans!K8/Balans!K$16</f>
        <v>0.72602711163915012</v>
      </c>
      <c r="L56" s="52"/>
      <c r="M56" s="52"/>
      <c r="N56" s="52"/>
      <c r="O56" s="52"/>
    </row>
    <row r="57" spans="2:15" s="42" customFormat="1" ht="13.8" outlineLevel="1" x14ac:dyDescent="0.3">
      <c r="B57" s="52"/>
      <c r="C57" s="52"/>
      <c r="D57" s="52"/>
      <c r="E57" s="89"/>
      <c r="F57" s="89"/>
      <c r="G57" s="89"/>
      <c r="H57" s="89"/>
      <c r="I57" s="89"/>
      <c r="J57" s="89"/>
      <c r="K57" s="89"/>
      <c r="L57" s="52"/>
      <c r="M57" s="52"/>
      <c r="N57" s="52"/>
      <c r="O57" s="52"/>
    </row>
    <row r="58" spans="2:15" s="42" customFormat="1" ht="13.8" outlineLevel="1" x14ac:dyDescent="0.3">
      <c r="B58" s="52" t="str">
        <f>Balans!B10</f>
        <v>Voorraden</v>
      </c>
      <c r="C58" s="52"/>
      <c r="D58" s="52"/>
      <c r="E58" s="89">
        <f>Balans!E10/Balans!E$16</f>
        <v>3.8819875776397512E-2</v>
      </c>
      <c r="F58" s="89">
        <f>Balans!F10/Balans!F$16</f>
        <v>1.5974440894568689E-2</v>
      </c>
      <c r="G58" s="89">
        <f>Balans!G10/Balans!G$16</f>
        <v>7.9665626149563618E-3</v>
      </c>
      <c r="H58" s="89">
        <f>Balans!H10/Balans!H$16</f>
        <v>6.8933741616930963E-3</v>
      </c>
      <c r="I58" s="89">
        <f>Balans!I10/Balans!I$16</f>
        <v>7.8695865364719376E-3</v>
      </c>
      <c r="J58" s="89">
        <f>Balans!J10/Balans!J$16</f>
        <v>8.5446493531946902E-3</v>
      </c>
      <c r="K58" s="89">
        <f>Balans!K10/Balans!K$16</f>
        <v>8.6176064146872636E-3</v>
      </c>
      <c r="L58" s="52"/>
      <c r="M58" s="52"/>
      <c r="N58" s="52"/>
      <c r="O58" s="52"/>
    </row>
    <row r="59" spans="2:15" s="42" customFormat="1" ht="13.8" outlineLevel="1" x14ac:dyDescent="0.3">
      <c r="B59" s="52" t="str">
        <f>Balans!B11</f>
        <v>Debiteuren</v>
      </c>
      <c r="C59" s="52"/>
      <c r="D59" s="52"/>
      <c r="E59" s="89">
        <f>Balans!E11/Balans!E$16</f>
        <v>9.3167701863354033E-2</v>
      </c>
      <c r="F59" s="89">
        <f>Balans!F11/Balans!F$16</f>
        <v>9.7444089456869012E-2</v>
      </c>
      <c r="G59" s="89">
        <f>Balans!G11/Balans!G$16</f>
        <v>5.6904018678259727E-2</v>
      </c>
      <c r="H59" s="89">
        <f>Balans!H11/Balans!H$16</f>
        <v>4.9238386869236414E-2</v>
      </c>
      <c r="I59" s="89">
        <f>Balans!I11/Balans!I$16</f>
        <v>5.6211332403370978E-2</v>
      </c>
      <c r="J59" s="89">
        <f>Balans!J11/Balans!J$16</f>
        <v>6.1033209665676359E-2</v>
      </c>
      <c r="K59" s="89">
        <f>Balans!K11/Balans!K$16</f>
        <v>6.1554331533480465E-2</v>
      </c>
      <c r="L59" s="52"/>
      <c r="M59" s="52"/>
      <c r="N59" s="52"/>
      <c r="O59" s="52"/>
    </row>
    <row r="60" spans="2:15" s="42" customFormat="1" ht="13.8" outlineLevel="1" x14ac:dyDescent="0.3">
      <c r="B60" s="52" t="str">
        <f>Balans!B12</f>
        <v>Overige kortlopende activa</v>
      </c>
      <c r="C60" s="52"/>
      <c r="D60" s="52"/>
      <c r="E60" s="89">
        <f>Balans!E12/Balans!E$16</f>
        <v>7.763975155279503E-3</v>
      </c>
      <c r="F60" s="89">
        <f>Balans!F12/Balans!F$16</f>
        <v>9.5846645367412137E-3</v>
      </c>
      <c r="G60" s="89">
        <f>Balans!G12/Balans!G$16</f>
        <v>4.1539933635129601E-3</v>
      </c>
      <c r="H60" s="89">
        <f>Balans!H12/Balans!H$16</f>
        <v>3.5944022414542576E-3</v>
      </c>
      <c r="I60" s="89">
        <f>Balans!I12/Balans!I$16</f>
        <v>4.1034272654460816E-3</v>
      </c>
      <c r="J60" s="89">
        <f>Balans!J12/Balans!J$16</f>
        <v>4.455424305594374E-3</v>
      </c>
      <c r="K60" s="89">
        <f>Balans!K12/Balans!K$16</f>
        <v>4.4934662019440732E-3</v>
      </c>
      <c r="L60" s="52"/>
      <c r="M60" s="52"/>
      <c r="N60" s="52"/>
      <c r="O60" s="52"/>
    </row>
    <row r="61" spans="2:15" s="42" customFormat="1" ht="13.8" outlineLevel="1" x14ac:dyDescent="0.3">
      <c r="B61" s="52" t="str">
        <f>Balans!B13</f>
        <v>Liquide Middelen</v>
      </c>
      <c r="C61" s="52"/>
      <c r="D61" s="52"/>
      <c r="E61" s="89">
        <f>Balans!E13/Balans!E$16</f>
        <v>0.16149068322981366</v>
      </c>
      <c r="F61" s="89">
        <f>Balans!F13/Balans!F$16</f>
        <v>0.12619808306709265</v>
      </c>
      <c r="G61" s="89">
        <f>Balans!G13/Balans!G$16</f>
        <v>0.20146605644897755</v>
      </c>
      <c r="H61" s="89">
        <f>Balans!H13/Balans!H$16</f>
        <v>0.36086037409098165</v>
      </c>
      <c r="I61" s="89">
        <f>Balans!I13/Balans!I$16</f>
        <v>0.19275230437184351</v>
      </c>
      <c r="J61" s="89">
        <f>Balans!J13/Balans!J$16</f>
        <v>0.19168857409500065</v>
      </c>
      <c r="K61" s="89">
        <f>Balans!K13/Balans!K$16</f>
        <v>0.19930748421073807</v>
      </c>
      <c r="L61" s="52"/>
      <c r="M61" s="52"/>
      <c r="N61" s="52"/>
      <c r="O61" s="52"/>
    </row>
    <row r="62" spans="2:15" s="42" customFormat="1" ht="13.8" outlineLevel="1" x14ac:dyDescent="0.3">
      <c r="B62" s="53" t="str">
        <f>Balans!B14</f>
        <v>Vlottende Activa</v>
      </c>
      <c r="C62" s="53"/>
      <c r="D62" s="53"/>
      <c r="E62" s="90">
        <f>Balans!E14/Balans!E$16</f>
        <v>0.30124223602484473</v>
      </c>
      <c r="F62" s="90">
        <f>Balans!F14/Balans!F$16</f>
        <v>0.24920127795527156</v>
      </c>
      <c r="G62" s="90">
        <f>Balans!G14/Balans!G$16</f>
        <v>0.27049063110570659</v>
      </c>
      <c r="H62" s="90">
        <f>Balans!H14/Balans!H$16</f>
        <v>0.42058653736336543</v>
      </c>
      <c r="I62" s="90">
        <f>Balans!I14/Balans!I$16</f>
        <v>0.26093665057713256</v>
      </c>
      <c r="J62" s="90">
        <f>Balans!J14/Balans!J$16</f>
        <v>0.26572185741946608</v>
      </c>
      <c r="K62" s="90">
        <f>Balans!K14/Balans!K$16</f>
        <v>0.27397288836084988</v>
      </c>
      <c r="L62" s="52"/>
      <c r="M62" s="52"/>
      <c r="N62" s="52"/>
      <c r="O62" s="52"/>
    </row>
    <row r="63" spans="2:15" s="42" customFormat="1" ht="13.8" outlineLevel="1" x14ac:dyDescent="0.3">
      <c r="B63" s="53"/>
      <c r="C63" s="53"/>
      <c r="D63" s="53"/>
      <c r="E63" s="91"/>
      <c r="F63" s="91"/>
      <c r="G63" s="91"/>
      <c r="H63" s="91"/>
      <c r="I63" s="91"/>
      <c r="J63" s="91"/>
      <c r="K63" s="91"/>
      <c r="L63" s="52"/>
      <c r="M63" s="52"/>
      <c r="N63" s="52"/>
      <c r="O63" s="52"/>
    </row>
    <row r="64" spans="2:15" s="42" customFormat="1" outlineLevel="1" thickBot="1" x14ac:dyDescent="0.35">
      <c r="B64" s="53" t="str">
        <f>Balans!B16</f>
        <v>Activa Totaal</v>
      </c>
      <c r="C64" s="53"/>
      <c r="D64" s="53"/>
      <c r="E64" s="92">
        <f>Balans!E16/Balans!E$16</f>
        <v>1</v>
      </c>
      <c r="F64" s="92">
        <f>Balans!F16/Balans!F$16</f>
        <v>1</v>
      </c>
      <c r="G64" s="92">
        <f>Balans!G16/Balans!G$16</f>
        <v>1</v>
      </c>
      <c r="H64" s="92">
        <f>Balans!H16/Balans!H$16</f>
        <v>1</v>
      </c>
      <c r="I64" s="92">
        <f>Balans!I16/Balans!I$16</f>
        <v>1</v>
      </c>
      <c r="J64" s="92">
        <f>Balans!J16/Balans!J$16</f>
        <v>1</v>
      </c>
      <c r="K64" s="92">
        <f>Balans!K16/Balans!K$16</f>
        <v>1</v>
      </c>
      <c r="L64" s="52"/>
      <c r="M64" s="52" t="s">
        <v>129</v>
      </c>
      <c r="N64" s="52"/>
      <c r="O64" s="52"/>
    </row>
    <row r="65" spans="2:15" s="42" customFormat="1" outlineLevel="1" thickTop="1" x14ac:dyDescent="0.3">
      <c r="B65" s="52"/>
      <c r="C65" s="52"/>
      <c r="D65" s="52"/>
      <c r="E65" s="89"/>
      <c r="F65" s="89"/>
      <c r="G65" s="89"/>
      <c r="H65" s="89"/>
      <c r="I65" s="89"/>
      <c r="J65" s="89"/>
      <c r="K65" s="89"/>
      <c r="L65" s="52"/>
      <c r="M65" s="52"/>
      <c r="N65" s="52"/>
      <c r="O65" s="52"/>
    </row>
    <row r="66" spans="2:15" s="42" customFormat="1" ht="13.8" outlineLevel="1" x14ac:dyDescent="0.3">
      <c r="B66" s="53" t="str">
        <f>Balans!B18</f>
        <v>Eigen Vermogen</v>
      </c>
      <c r="C66" s="53"/>
      <c r="D66" s="53"/>
      <c r="E66" s="91">
        <f>Balans!E18/Balans!E$16</f>
        <v>0.66770186335403725</v>
      </c>
      <c r="F66" s="91">
        <f>Balans!F18/Balans!F$16</f>
        <v>0.68849840255591055</v>
      </c>
      <c r="G66" s="91">
        <f>Balans!G18/Balans!G$16</f>
        <v>0.74790762832265634</v>
      </c>
      <c r="H66" s="91">
        <f>Balans!H18/Balans!H$16</f>
        <v>0.66846071179389699</v>
      </c>
      <c r="I66" s="91">
        <f>Balans!I18/Balans!I$16</f>
        <v>0.7278022219566096</v>
      </c>
      <c r="J66" s="91">
        <f>Balans!J18/Balans!J$16</f>
        <v>0.77716406367542901</v>
      </c>
      <c r="K66" s="91">
        <f>Balans!K18/Balans!K$16</f>
        <v>0.82574209419364319</v>
      </c>
      <c r="L66" s="52"/>
      <c r="M66" s="52" t="s">
        <v>219</v>
      </c>
      <c r="N66" s="52"/>
      <c r="O66" s="52"/>
    </row>
    <row r="67" spans="2:15" s="42" customFormat="1" ht="13.8" outlineLevel="1" x14ac:dyDescent="0.3">
      <c r="B67" s="52"/>
      <c r="C67" s="52"/>
      <c r="D67" s="52"/>
      <c r="E67" s="89"/>
      <c r="F67" s="89"/>
      <c r="G67" s="89"/>
      <c r="H67" s="89"/>
      <c r="I67" s="89"/>
      <c r="J67" s="89"/>
      <c r="K67" s="89"/>
      <c r="L67" s="52"/>
      <c r="M67" s="52"/>
      <c r="N67" s="52"/>
      <c r="O67" s="52"/>
    </row>
    <row r="68" spans="2:15" s="42" customFormat="1" ht="13.8" outlineLevel="1" x14ac:dyDescent="0.3">
      <c r="B68" s="53" t="str">
        <f>Balans!B20</f>
        <v>Voorzieningen</v>
      </c>
      <c r="C68" s="53"/>
      <c r="D68" s="53"/>
      <c r="E68" s="91">
        <f>Balans!E20/Balans!E$16</f>
        <v>9.3167701863354033E-2</v>
      </c>
      <c r="F68" s="91">
        <f>Balans!F20/Balans!F$16</f>
        <v>1.5974440894568689E-2</v>
      </c>
      <c r="G68" s="91">
        <f>Balans!G20/Balans!G$16</f>
        <v>4.4655071417192986E-2</v>
      </c>
      <c r="H68" s="91">
        <f>Balans!H20/Balans!H$16</f>
        <v>1.1655962286429391E-2</v>
      </c>
      <c r="I68" s="91">
        <f>Balans!I20/Balans!I$16</f>
        <v>1.2113882081513615E-2</v>
      </c>
      <c r="J68" s="91">
        <f>Balans!J20/Balans!J$16</f>
        <v>1.2035448437809126E-2</v>
      </c>
      <c r="K68" s="91">
        <f>Balans!K20/Balans!K$16</f>
        <v>1.1900206965000474E-2</v>
      </c>
      <c r="L68" s="52"/>
      <c r="M68" s="52"/>
      <c r="N68" s="52"/>
      <c r="O68" s="52"/>
    </row>
    <row r="69" spans="2:15" s="42" customFormat="1" ht="13.8" outlineLevel="1" x14ac:dyDescent="0.3">
      <c r="B69" s="52"/>
      <c r="C69" s="52"/>
      <c r="D69" s="52"/>
      <c r="E69" s="89"/>
      <c r="F69" s="89"/>
      <c r="G69" s="89"/>
      <c r="H69" s="89"/>
      <c r="I69" s="89"/>
      <c r="J69" s="89"/>
      <c r="K69" s="89"/>
      <c r="L69" s="52"/>
      <c r="M69" s="52"/>
      <c r="N69" s="52"/>
      <c r="O69" s="52"/>
    </row>
    <row r="70" spans="2:15" s="42" customFormat="1" ht="13.8" outlineLevel="1" x14ac:dyDescent="0.3">
      <c r="B70" s="53" t="str">
        <f>Balans!B22</f>
        <v>Langlopende Schulden (LLS)</v>
      </c>
      <c r="C70" s="53"/>
      <c r="D70" s="53"/>
      <c r="E70" s="91">
        <f>Balans!E22/Balans!E$16</f>
        <v>0.10869565217391304</v>
      </c>
      <c r="F70" s="91">
        <f>Balans!F22/Balans!F$16</f>
        <v>0.16134185303514376</v>
      </c>
      <c r="G70" s="91">
        <f>Balans!G22/Balans!G$16</f>
        <v>0.10568366902069007</v>
      </c>
      <c r="H70" s="91">
        <f>Balans!H22/Balans!H$16</f>
        <v>0.15269310595222502</v>
      </c>
      <c r="I70" s="91">
        <f>Balans!I22/Balans!I$16</f>
        <v>0.12235020902328751</v>
      </c>
      <c r="J70" s="91">
        <f>Balans!J22/Balans!J$16</f>
        <v>8.5451683908444792E-2</v>
      </c>
      <c r="K70" s="91">
        <f>Balans!K22/Balans!K$16</f>
        <v>4.879084855650194E-2</v>
      </c>
      <c r="L70" s="52"/>
      <c r="M70" s="52"/>
      <c r="N70" s="52"/>
      <c r="O70" s="52"/>
    </row>
    <row r="71" spans="2:15" s="42" customFormat="1" ht="13.8" outlineLevel="1" x14ac:dyDescent="0.3">
      <c r="B71" s="52"/>
      <c r="C71" s="52"/>
      <c r="D71" s="52"/>
      <c r="E71" s="89"/>
      <c r="F71" s="89"/>
      <c r="G71" s="89"/>
      <c r="H71" s="89"/>
      <c r="I71" s="89"/>
      <c r="J71" s="89"/>
      <c r="K71" s="89"/>
      <c r="L71" s="52"/>
      <c r="M71" s="52"/>
      <c r="N71" s="52"/>
      <c r="O71" s="52"/>
    </row>
    <row r="72" spans="2:15" s="42" customFormat="1" ht="13.8" outlineLevel="1" x14ac:dyDescent="0.3">
      <c r="B72" s="52" t="str">
        <f>Balans!B24</f>
        <v>Kortlopend deel LLS</v>
      </c>
      <c r="C72" s="52"/>
      <c r="D72" s="52"/>
      <c r="E72" s="89">
        <f>Balans!E24/Balans!E$16</f>
        <v>1.5527950310559006E-2</v>
      </c>
      <c r="F72" s="89">
        <f>Balans!F24/Balans!F$16</f>
        <v>1.5974440894568689E-2</v>
      </c>
      <c r="G72" s="89">
        <f>Balans!G24/Balans!G$16</f>
        <v>2.977004761146199E-2</v>
      </c>
      <c r="H72" s="89">
        <f>Balans!H24/Balans!H$16</f>
        <v>4.6623849145717565E-2</v>
      </c>
      <c r="I72" s="89">
        <f>Balans!I24/Balans!I$16</f>
        <v>3.6341646244540844E-2</v>
      </c>
      <c r="J72" s="89">
        <f>Balans!J24/Balans!J$16</f>
        <v>4.8141793751236506E-2</v>
      </c>
      <c r="K72" s="89">
        <f>Balans!K24/Balans!K$16</f>
        <v>3.5700620895001423E-2</v>
      </c>
      <c r="L72" s="52"/>
      <c r="M72" s="52"/>
      <c r="N72" s="52"/>
      <c r="O72" s="52"/>
    </row>
    <row r="73" spans="2:15" s="42" customFormat="1" ht="13.8" outlineLevel="1" x14ac:dyDescent="0.3">
      <c r="B73" s="52" t="str">
        <f>Balans!B25</f>
        <v>Kortlopende schulden rentedragend</v>
      </c>
      <c r="C73" s="52"/>
      <c r="D73" s="52"/>
      <c r="E73" s="89">
        <f>Balans!E25/Balans!E$16</f>
        <v>6.2111801242236021E-3</v>
      </c>
      <c r="F73" s="89">
        <f>Balans!F25/Balans!F$16</f>
        <v>6.3897763578274758E-3</v>
      </c>
      <c r="G73" s="89">
        <f>Balans!G25/Balans!G$16</f>
        <v>0</v>
      </c>
      <c r="H73" s="89">
        <f>Balans!H25/Balans!H$16</f>
        <v>5.8279811432146951E-2</v>
      </c>
      <c r="I73" s="89">
        <f>Balans!I25/Balans!I$16</f>
        <v>3.0284705203784037E-2</v>
      </c>
      <c r="J73" s="89">
        <f>Balans!J25/Balans!J$16</f>
        <v>0</v>
      </c>
      <c r="K73" s="89">
        <f>Balans!K25/Balans!K$16</f>
        <v>0</v>
      </c>
      <c r="L73" s="52"/>
      <c r="M73" s="52"/>
      <c r="N73" s="52"/>
      <c r="O73" s="52"/>
    </row>
    <row r="74" spans="2:15" s="42" customFormat="1" ht="13.8" outlineLevel="1" x14ac:dyDescent="0.3">
      <c r="B74" s="52" t="str">
        <f>Balans!B26</f>
        <v>Crediteuren</v>
      </c>
      <c r="C74" s="52"/>
      <c r="D74" s="52"/>
      <c r="E74" s="89">
        <f>Balans!E26/Balans!E$16</f>
        <v>6.2111801242236024E-2</v>
      </c>
      <c r="F74" s="89">
        <f>Balans!F26/Balans!F$16</f>
        <v>7.1884984025559109E-2</v>
      </c>
      <c r="G74" s="89">
        <f>Balans!G26/Balans!G$16</f>
        <v>5.1213616810433758E-2</v>
      </c>
      <c r="H74" s="89">
        <f>Balans!H26/Balans!H$16</f>
        <v>4.4314548182312764E-2</v>
      </c>
      <c r="I74" s="89">
        <f>Balans!I26/Balans!I$16</f>
        <v>5.059019916303388E-2</v>
      </c>
      <c r="J74" s="89">
        <f>Balans!J26/Balans!J$16</f>
        <v>5.4929888699108718E-2</v>
      </c>
      <c r="K74" s="89">
        <f>Balans!K26/Balans!K$16</f>
        <v>5.5398898380132414E-2</v>
      </c>
      <c r="L74" s="52"/>
      <c r="M74" s="52"/>
      <c r="N74" s="52"/>
      <c r="O74" s="52"/>
    </row>
    <row r="75" spans="2:15" s="42" customFormat="1" ht="13.8" outlineLevel="1" x14ac:dyDescent="0.3">
      <c r="B75" s="52" t="str">
        <f>Balans!B27</f>
        <v>Overige kortlopende passiva</v>
      </c>
      <c r="C75" s="52"/>
      <c r="D75" s="52"/>
      <c r="E75" s="89">
        <f>Balans!E27/Balans!E$16</f>
        <v>4.6583850931677016E-2</v>
      </c>
      <c r="F75" s="89">
        <f>Balans!F27/Balans!F$16</f>
        <v>3.9936102236421724E-2</v>
      </c>
      <c r="G75" s="89">
        <f>Balans!G27/Balans!G$16</f>
        <v>2.0769966817564801E-2</v>
      </c>
      <c r="H75" s="89">
        <f>Balans!H27/Balans!H$16</f>
        <v>1.797201120727129E-2</v>
      </c>
      <c r="I75" s="89">
        <f>Balans!I27/Balans!I$16</f>
        <v>2.0517136327230408E-2</v>
      </c>
      <c r="J75" s="89">
        <f>Balans!J27/Balans!J$16</f>
        <v>2.2277121527971868E-2</v>
      </c>
      <c r="K75" s="89">
        <f>Balans!K27/Balans!K$16</f>
        <v>2.246733100972037E-2</v>
      </c>
      <c r="L75" s="52"/>
      <c r="M75" s="52"/>
      <c r="N75" s="52"/>
      <c r="O75" s="52"/>
    </row>
    <row r="76" spans="2:15" s="42" customFormat="1" ht="13.8" outlineLevel="1" x14ac:dyDescent="0.3">
      <c r="B76" s="44" t="str">
        <f>Balans!B28</f>
        <v>Vlottende Passiva</v>
      </c>
      <c r="C76" s="44"/>
      <c r="D76" s="44"/>
      <c r="E76" s="90">
        <f>Balans!E28/Balans!E$16</f>
        <v>0.13043478260869565</v>
      </c>
      <c r="F76" s="90">
        <f>Balans!F28/Balans!F$16</f>
        <v>0.13418530351437699</v>
      </c>
      <c r="G76" s="90">
        <f>Balans!G28/Balans!G$16</f>
        <v>0.10175363123946056</v>
      </c>
      <c r="H76" s="90">
        <f>Balans!H28/Balans!H$16</f>
        <v>0.16719021996744854</v>
      </c>
      <c r="I76" s="90">
        <f>Balans!I28/Balans!I$16</f>
        <v>0.1377336869385892</v>
      </c>
      <c r="J76" s="90">
        <f>Balans!J28/Balans!J$16</f>
        <v>0.12534880397831707</v>
      </c>
      <c r="K76" s="90">
        <f>Balans!K28/Balans!K$16</f>
        <v>0.11356685028485421</v>
      </c>
      <c r="L76" s="52"/>
      <c r="M76" s="52"/>
      <c r="N76" s="52"/>
      <c r="O76" s="52"/>
    </row>
    <row r="77" spans="2:15" s="42" customFormat="1" ht="13.8" outlineLevel="1" x14ac:dyDescent="0.3">
      <c r="E77" s="89"/>
      <c r="F77" s="89"/>
      <c r="G77" s="89"/>
      <c r="H77" s="89"/>
      <c r="I77" s="89"/>
      <c r="J77" s="89"/>
      <c r="K77" s="89"/>
      <c r="L77" s="52"/>
      <c r="M77" s="52"/>
      <c r="N77" s="52"/>
      <c r="O77" s="52"/>
    </row>
    <row r="78" spans="2:15" s="42" customFormat="1" outlineLevel="1" thickBot="1" x14ac:dyDescent="0.35">
      <c r="B78" s="44" t="str">
        <f>Balans!B30</f>
        <v>Passiva Totaal</v>
      </c>
      <c r="C78" s="44"/>
      <c r="D78" s="44"/>
      <c r="E78" s="92">
        <f>Balans!E30/Balans!E$16</f>
        <v>1</v>
      </c>
      <c r="F78" s="92">
        <f>Balans!F30/Balans!F$16</f>
        <v>1</v>
      </c>
      <c r="G78" s="92">
        <f>Balans!G30/Balans!G$16</f>
        <v>1</v>
      </c>
      <c r="H78" s="92">
        <f>Balans!H30/Balans!H$16</f>
        <v>0.99999999999999989</v>
      </c>
      <c r="I78" s="92">
        <f>Balans!I30/Balans!I$16</f>
        <v>1</v>
      </c>
      <c r="J78" s="92">
        <f>Balans!J30/Balans!J$16</f>
        <v>1</v>
      </c>
      <c r="K78" s="92">
        <f>Balans!K30/Balans!K$16</f>
        <v>0.99999999999999989</v>
      </c>
      <c r="L78" s="52"/>
      <c r="M78" s="52"/>
      <c r="N78" s="52"/>
      <c r="O78" s="52"/>
    </row>
    <row r="79" spans="2:15" s="42" customFormat="1" thickTop="1" x14ac:dyDescent="0.3">
      <c r="L79" s="52"/>
      <c r="M79" s="52"/>
      <c r="N79" s="52"/>
      <c r="O79" s="52"/>
    </row>
    <row r="80" spans="2:15" s="42" customFormat="1" ht="13.8" x14ac:dyDescent="0.3">
      <c r="L80" s="52"/>
      <c r="M80" s="52"/>
      <c r="N80" s="52"/>
      <c r="O80" s="52"/>
    </row>
  </sheetData>
  <conditionalFormatting sqref="O2">
    <cfRule type="cellIs" dxfId="24" priority="1" operator="notEqual">
      <formula>0</formula>
    </cfRule>
    <cfRule type="cellIs" dxfId="23" priority="2" operator="equal">
      <formula>0</formula>
    </cfRule>
  </conditionalFormatting>
  <pageMargins left="0.7" right="0.7" top="0.75" bottom="0.75" header="0.3" footer="0.3"/>
  <pageSetup paperSize="9" scale="7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1741-1150-447B-9A6B-04A113DE3261}">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9A12-7009-4A3F-855F-9AED8A3A1169}">
  <dimension ref="B1:P77"/>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21875" customWidth="1"/>
    <col min="2" max="2" width="33.6640625" customWidth="1"/>
    <col min="3" max="4" width="1.5546875" customWidth="1"/>
  </cols>
  <sheetData>
    <row r="1" spans="2:16" x14ac:dyDescent="0.3">
      <c r="K1" s="131" t="s">
        <v>28</v>
      </c>
    </row>
    <row r="2" spans="2:16" ht="15.6" x14ac:dyDescent="0.3">
      <c r="B2" s="33" t="s">
        <v>250</v>
      </c>
      <c r="C2" s="34"/>
      <c r="D2" s="34"/>
      <c r="E2" s="25" t="s">
        <v>390</v>
      </c>
      <c r="F2" s="25"/>
      <c r="G2" s="169">
        <f>ErrorChecks!B5</f>
        <v>0</v>
      </c>
      <c r="K2" s="41"/>
    </row>
    <row r="3" spans="2:16" x14ac:dyDescent="0.3">
      <c r="B3" s="35"/>
      <c r="C3" s="35"/>
      <c r="D3" s="35"/>
      <c r="E3" s="36"/>
      <c r="F3" s="36"/>
    </row>
    <row r="4" spans="2:16" x14ac:dyDescent="0.3">
      <c r="B4" s="37" t="s">
        <v>362</v>
      </c>
      <c r="C4" s="37"/>
      <c r="D4" s="37"/>
      <c r="E4" s="30"/>
      <c r="F4" s="30"/>
    </row>
    <row r="5" spans="2:16" s="2" customFormat="1" x14ac:dyDescent="0.3">
      <c r="B5" s="126" t="s">
        <v>239</v>
      </c>
      <c r="C5" s="127"/>
      <c r="D5" s="126"/>
      <c r="E5" s="127"/>
      <c r="F5" s="127"/>
      <c r="G5" s="127"/>
      <c r="H5" s="127"/>
      <c r="I5" s="127"/>
      <c r="J5" s="127"/>
      <c r="K5" s="127"/>
      <c r="L5" s="48"/>
      <c r="M5" s="48"/>
      <c r="N5" s="17"/>
      <c r="O5" s="17"/>
      <c r="P5" s="20"/>
    </row>
    <row r="6" spans="2:16" outlineLevel="1" x14ac:dyDescent="0.3">
      <c r="B6" s="42"/>
      <c r="C6" s="42"/>
      <c r="D6" s="42"/>
      <c r="E6" s="49"/>
      <c r="F6" s="49"/>
      <c r="G6" s="42"/>
      <c r="H6" s="42"/>
      <c r="I6" s="42"/>
      <c r="J6" s="42"/>
      <c r="K6" s="42"/>
      <c r="L6" s="42"/>
      <c r="M6" s="42"/>
    </row>
    <row r="7" spans="2:16" outlineLevel="1" x14ac:dyDescent="0.3">
      <c r="B7" s="42" t="s">
        <v>363</v>
      </c>
      <c r="C7" s="42"/>
      <c r="D7" s="42"/>
      <c r="E7" s="115">
        <v>2026</v>
      </c>
      <c r="F7" s="43"/>
      <c r="G7" s="42"/>
      <c r="H7" s="42"/>
      <c r="I7" s="42"/>
      <c r="J7" s="42"/>
      <c r="K7" s="42"/>
      <c r="L7" s="42"/>
      <c r="M7" s="42" t="s">
        <v>240</v>
      </c>
    </row>
    <row r="8" spans="2:16" x14ac:dyDescent="0.3">
      <c r="B8" s="42"/>
      <c r="C8" s="42"/>
      <c r="D8" s="42"/>
      <c r="E8" s="43"/>
      <c r="F8" s="43"/>
      <c r="G8" s="42"/>
      <c r="H8" s="42"/>
      <c r="I8" s="42"/>
      <c r="J8" s="42"/>
      <c r="K8" s="42"/>
      <c r="L8" s="42"/>
      <c r="M8" s="42"/>
    </row>
    <row r="9" spans="2:16" s="2" customFormat="1" x14ac:dyDescent="0.3">
      <c r="B9" s="126" t="s">
        <v>247</v>
      </c>
      <c r="C9" s="127"/>
      <c r="D9" s="126"/>
      <c r="E9" s="127" t="str">
        <f>"R "&amp;E7-2</f>
        <v>R 2024</v>
      </c>
      <c r="F9" s="127" t="str">
        <f>"R "&amp;RIGHT(E9,4)+1</f>
        <v>R 2025</v>
      </c>
      <c r="G9" s="128" t="str">
        <f>"P "&amp;RIGHT(F9,4)+1</f>
        <v>P 2026</v>
      </c>
      <c r="H9" s="128" t="str">
        <f t="shared" ref="H9:K9" si="0">"P "&amp;RIGHT(G9,4)+1</f>
        <v>P 2027</v>
      </c>
      <c r="I9" s="128" t="str">
        <f t="shared" si="0"/>
        <v>P 2028</v>
      </c>
      <c r="J9" s="128" t="str">
        <f t="shared" si="0"/>
        <v>P 2029</v>
      </c>
      <c r="K9" s="128" t="str">
        <f t="shared" si="0"/>
        <v>P 2030</v>
      </c>
      <c r="L9" s="48"/>
      <c r="M9" s="79" t="s">
        <v>241</v>
      </c>
      <c r="N9" s="17"/>
      <c r="O9" s="17"/>
      <c r="P9" s="20"/>
    </row>
    <row r="10" spans="2:16" outlineLevel="1" x14ac:dyDescent="0.3">
      <c r="B10" s="42"/>
      <c r="C10" s="42"/>
      <c r="D10" s="42"/>
      <c r="E10" s="138"/>
      <c r="F10" s="138"/>
      <c r="G10" s="42"/>
      <c r="H10" s="42"/>
      <c r="I10" s="42"/>
      <c r="J10" s="42"/>
      <c r="K10" s="42"/>
      <c r="L10" s="42"/>
      <c r="M10" s="42"/>
    </row>
    <row r="11" spans="2:16" outlineLevel="1" x14ac:dyDescent="0.3">
      <c r="B11" s="42" t="s">
        <v>226</v>
      </c>
      <c r="C11" s="42"/>
      <c r="D11" s="42"/>
      <c r="E11" s="137">
        <v>500</v>
      </c>
      <c r="F11" s="139">
        <v>456</v>
      </c>
      <c r="G11" s="43"/>
      <c r="H11" s="43"/>
      <c r="I11" s="43"/>
      <c r="J11" s="43"/>
      <c r="K11" s="43"/>
      <c r="L11" s="42"/>
      <c r="M11" s="42"/>
    </row>
    <row r="12" spans="2:16" outlineLevel="1" x14ac:dyDescent="0.3">
      <c r="B12" s="42" t="s">
        <v>0</v>
      </c>
      <c r="C12" s="42"/>
      <c r="D12" s="42"/>
      <c r="E12" s="139">
        <v>23</v>
      </c>
      <c r="F12" s="139">
        <v>23</v>
      </c>
      <c r="G12" s="43"/>
      <c r="H12" s="43"/>
      <c r="I12" s="43"/>
      <c r="J12" s="43"/>
      <c r="K12" s="43"/>
      <c r="L12" s="42"/>
      <c r="M12" s="42"/>
    </row>
    <row r="13" spans="2:16" outlineLevel="1" x14ac:dyDescent="0.3">
      <c r="B13" s="42" t="s">
        <v>301</v>
      </c>
      <c r="C13" s="42"/>
      <c r="D13" s="42"/>
      <c r="E13" s="139">
        <v>-300</v>
      </c>
      <c r="F13" s="139">
        <v>-320</v>
      </c>
      <c r="G13" s="43"/>
      <c r="H13" s="43"/>
      <c r="I13" s="43"/>
      <c r="J13" s="43"/>
      <c r="K13" s="43"/>
      <c r="L13" s="42"/>
      <c r="M13" s="42"/>
    </row>
    <row r="14" spans="2:16" s="2" customFormat="1" outlineLevel="1" x14ac:dyDescent="0.3">
      <c r="B14" s="44" t="s">
        <v>302</v>
      </c>
      <c r="C14" s="44"/>
      <c r="D14" s="44"/>
      <c r="E14" s="140">
        <f>SUM(E11:E13)</f>
        <v>223</v>
      </c>
      <c r="F14" s="140">
        <f>SUM(F11:F13)</f>
        <v>159</v>
      </c>
      <c r="G14" s="45"/>
      <c r="H14" s="45"/>
      <c r="I14" s="45"/>
      <c r="J14" s="45"/>
      <c r="K14" s="45"/>
      <c r="L14" s="44"/>
      <c r="M14" s="44"/>
    </row>
    <row r="15" spans="2:16" outlineLevel="1" x14ac:dyDescent="0.3">
      <c r="B15" s="42" t="s">
        <v>313</v>
      </c>
      <c r="C15" s="42"/>
      <c r="D15" s="42"/>
      <c r="E15" s="141"/>
      <c r="F15" s="141"/>
      <c r="G15" s="43"/>
      <c r="H15" s="43"/>
      <c r="I15" s="43"/>
      <c r="J15" s="43"/>
      <c r="K15" s="43"/>
      <c r="L15" s="42"/>
      <c r="M15" s="42"/>
    </row>
    <row r="16" spans="2:16" outlineLevel="1" x14ac:dyDescent="0.3">
      <c r="B16" s="42" t="s">
        <v>303</v>
      </c>
      <c r="C16" s="42"/>
      <c r="D16" s="42"/>
      <c r="E16" s="137">
        <v>-75</v>
      </c>
      <c r="F16" s="139">
        <v>-78</v>
      </c>
      <c r="G16" s="43"/>
      <c r="H16" s="43"/>
      <c r="I16" s="43"/>
      <c r="J16" s="43"/>
      <c r="K16" s="43"/>
      <c r="L16" s="42"/>
      <c r="M16" s="42"/>
    </row>
    <row r="17" spans="2:13" outlineLevel="1" x14ac:dyDescent="0.3">
      <c r="B17" s="42" t="s">
        <v>304</v>
      </c>
      <c r="C17" s="42"/>
      <c r="D17" s="42"/>
      <c r="E17" s="139">
        <v>-35</v>
      </c>
      <c r="F17" s="139">
        <v>-46</v>
      </c>
      <c r="G17" s="43"/>
      <c r="H17" s="43"/>
      <c r="I17" s="43"/>
      <c r="J17" s="43"/>
      <c r="K17" s="43"/>
      <c r="L17" s="42"/>
      <c r="M17" s="42"/>
    </row>
    <row r="18" spans="2:13" s="2" customFormat="1" outlineLevel="1" x14ac:dyDescent="0.3">
      <c r="B18" s="44" t="s">
        <v>29</v>
      </c>
      <c r="C18" s="44"/>
      <c r="D18" s="44"/>
      <c r="E18" s="140">
        <f>SUM(E14:E17)</f>
        <v>113</v>
      </c>
      <c r="F18" s="140">
        <f>SUM(F14:F17)</f>
        <v>35</v>
      </c>
      <c r="G18" s="45"/>
      <c r="H18" s="45"/>
      <c r="I18" s="45"/>
      <c r="J18" s="45"/>
      <c r="K18" s="45"/>
      <c r="L18" s="44"/>
      <c r="M18" s="44"/>
    </row>
    <row r="19" spans="2:13" outlineLevel="1" x14ac:dyDescent="0.3">
      <c r="B19" s="42" t="s">
        <v>313</v>
      </c>
      <c r="C19" s="42"/>
      <c r="D19" s="42"/>
      <c r="E19" s="141"/>
      <c r="F19" s="141"/>
      <c r="G19" s="43"/>
      <c r="H19" s="43"/>
      <c r="I19" s="43"/>
      <c r="J19" s="43"/>
      <c r="K19" s="43"/>
      <c r="L19" s="42"/>
      <c r="M19" s="42"/>
    </row>
    <row r="20" spans="2:13" outlineLevel="1" x14ac:dyDescent="0.3">
      <c r="B20" s="42" t="s">
        <v>305</v>
      </c>
      <c r="C20" s="42"/>
      <c r="D20" s="42"/>
      <c r="E20" s="137">
        <v>-50</v>
      </c>
      <c r="F20" s="139">
        <v>-60</v>
      </c>
      <c r="G20" s="43"/>
      <c r="H20" s="43"/>
      <c r="I20" s="43"/>
      <c r="J20" s="43"/>
      <c r="K20" s="43"/>
      <c r="L20" s="42"/>
      <c r="M20" s="42"/>
    </row>
    <row r="21" spans="2:13" s="2" customFormat="1" outlineLevel="1" x14ac:dyDescent="0.3">
      <c r="B21" s="44" t="s">
        <v>56</v>
      </c>
      <c r="C21" s="44"/>
      <c r="D21" s="44"/>
      <c r="E21" s="140">
        <f>SUM(E18:E20)</f>
        <v>63</v>
      </c>
      <c r="F21" s="140">
        <f>SUM(F18:F20)</f>
        <v>-25</v>
      </c>
      <c r="G21" s="45"/>
      <c r="H21" s="45"/>
      <c r="I21" s="45"/>
      <c r="J21" s="45"/>
      <c r="K21" s="45"/>
      <c r="L21" s="44"/>
      <c r="M21" s="44"/>
    </row>
    <row r="22" spans="2:13" outlineLevel="1" x14ac:dyDescent="0.3">
      <c r="B22" s="42" t="s">
        <v>313</v>
      </c>
      <c r="C22" s="42"/>
      <c r="D22" s="42"/>
      <c r="E22" s="141"/>
      <c r="F22" s="141"/>
      <c r="G22" s="43"/>
      <c r="H22" s="43"/>
      <c r="I22" s="43"/>
      <c r="J22" s="43"/>
      <c r="K22" s="43"/>
      <c r="L22" s="42"/>
      <c r="M22" s="42"/>
    </row>
    <row r="23" spans="2:13" outlineLevel="1" x14ac:dyDescent="0.3">
      <c r="B23" s="42" t="s">
        <v>148</v>
      </c>
      <c r="C23" s="42"/>
      <c r="D23" s="42"/>
      <c r="E23" s="137">
        <v>25</v>
      </c>
      <c r="F23" s="139">
        <v>12</v>
      </c>
      <c r="G23" s="43"/>
      <c r="H23" s="43"/>
      <c r="I23" s="43"/>
      <c r="J23" s="43"/>
      <c r="K23" s="43"/>
      <c r="L23" s="42"/>
      <c r="M23" s="42"/>
    </row>
    <row r="24" spans="2:13" outlineLevel="1" x14ac:dyDescent="0.3">
      <c r="B24" s="42" t="s">
        <v>39</v>
      </c>
      <c r="C24" s="42"/>
      <c r="D24" s="42"/>
      <c r="E24" s="137">
        <v>0</v>
      </c>
      <c r="F24" s="139">
        <v>40</v>
      </c>
      <c r="G24" s="43"/>
      <c r="H24" s="43"/>
      <c r="I24" s="43"/>
      <c r="J24" s="43"/>
      <c r="K24" s="43"/>
      <c r="L24" s="42"/>
      <c r="M24" s="42"/>
    </row>
    <row r="25" spans="2:13" outlineLevel="1" x14ac:dyDescent="0.3">
      <c r="B25" s="42" t="s">
        <v>47</v>
      </c>
      <c r="C25" s="42"/>
      <c r="D25" s="42"/>
      <c r="E25" s="137">
        <v>12</v>
      </c>
      <c r="F25" s="139">
        <v>12</v>
      </c>
      <c r="G25" s="43"/>
      <c r="H25" s="43"/>
      <c r="I25" s="43"/>
      <c r="J25" s="43"/>
      <c r="K25" s="43"/>
      <c r="L25" s="42"/>
      <c r="M25" s="42"/>
    </row>
    <row r="26" spans="2:13" outlineLevel="1" x14ac:dyDescent="0.3">
      <c r="B26" s="42" t="s">
        <v>289</v>
      </c>
      <c r="C26" s="42"/>
      <c r="D26" s="42"/>
      <c r="E26" s="137">
        <v>-20</v>
      </c>
      <c r="F26" s="139">
        <v>-25</v>
      </c>
      <c r="G26" s="43"/>
      <c r="H26" s="43"/>
      <c r="I26" s="43"/>
      <c r="J26" s="43"/>
      <c r="K26" s="43"/>
      <c r="L26" s="42"/>
      <c r="M26" s="42"/>
    </row>
    <row r="27" spans="2:13" outlineLevel="1" x14ac:dyDescent="0.3">
      <c r="B27" s="42" t="s">
        <v>290</v>
      </c>
      <c r="C27" s="42"/>
      <c r="D27" s="42"/>
      <c r="E27" s="137">
        <v>-5</v>
      </c>
      <c r="F27" s="139">
        <v>-5</v>
      </c>
      <c r="G27" s="43"/>
      <c r="H27" s="43"/>
      <c r="I27" s="43"/>
      <c r="J27" s="43"/>
      <c r="K27" s="43"/>
      <c r="L27" s="42"/>
      <c r="M27" s="42"/>
    </row>
    <row r="28" spans="2:13" s="2" customFormat="1" outlineLevel="1" x14ac:dyDescent="0.3">
      <c r="B28" s="44" t="s">
        <v>57</v>
      </c>
      <c r="C28" s="44"/>
      <c r="D28" s="44"/>
      <c r="E28" s="140">
        <f>SUM(E21:E27)</f>
        <v>75</v>
      </c>
      <c r="F28" s="140">
        <f>SUM(F21:F27)</f>
        <v>9</v>
      </c>
      <c r="G28" s="45"/>
      <c r="H28" s="45"/>
      <c r="I28" s="45"/>
      <c r="J28" s="45"/>
      <c r="K28" s="45"/>
      <c r="L28" s="44"/>
      <c r="M28" s="44"/>
    </row>
    <row r="29" spans="2:13" outlineLevel="1" x14ac:dyDescent="0.3">
      <c r="B29" s="42" t="s">
        <v>313</v>
      </c>
      <c r="C29" s="42"/>
      <c r="D29" s="42"/>
      <c r="E29" s="141"/>
      <c r="F29" s="141"/>
      <c r="G29" s="43"/>
      <c r="H29" s="43"/>
      <c r="I29" s="43"/>
      <c r="J29" s="43"/>
      <c r="K29" s="43"/>
      <c r="L29" s="42"/>
      <c r="M29" s="42"/>
    </row>
    <row r="30" spans="2:13" outlineLevel="1" x14ac:dyDescent="0.3">
      <c r="B30" s="42" t="s">
        <v>5</v>
      </c>
      <c r="C30" s="42"/>
      <c r="D30" s="42"/>
      <c r="E30" s="137">
        <v>-20</v>
      </c>
      <c r="F30" s="139">
        <v>-3</v>
      </c>
      <c r="G30" s="43"/>
      <c r="H30" s="43"/>
      <c r="I30" s="43"/>
      <c r="J30" s="43"/>
      <c r="K30" s="43"/>
      <c r="L30" s="42"/>
      <c r="M30" s="42"/>
    </row>
    <row r="31" spans="2:13" s="2" customFormat="1" ht="15" outlineLevel="1" thickBot="1" x14ac:dyDescent="0.35">
      <c r="B31" s="44" t="s">
        <v>152</v>
      </c>
      <c r="C31" s="44"/>
      <c r="D31" s="44"/>
      <c r="E31" s="142">
        <f>SUM(E28:E30)</f>
        <v>55</v>
      </c>
      <c r="F31" s="142">
        <f>SUM(F28:F30)</f>
        <v>6</v>
      </c>
      <c r="G31" s="45"/>
      <c r="H31" s="45"/>
      <c r="I31" s="45"/>
      <c r="J31" s="45"/>
      <c r="K31" s="45"/>
      <c r="L31" s="44"/>
      <c r="M31" s="44"/>
    </row>
    <row r="32" spans="2:13" ht="15" outlineLevel="1" thickTop="1" x14ac:dyDescent="0.3">
      <c r="B32" s="42" t="s">
        <v>313</v>
      </c>
      <c r="C32" s="42"/>
      <c r="D32" s="42"/>
      <c r="E32" s="141"/>
      <c r="F32" s="141"/>
      <c r="G32" s="43"/>
      <c r="H32" s="43"/>
      <c r="I32" s="43"/>
      <c r="J32" s="43"/>
      <c r="K32" s="43"/>
      <c r="L32" s="42"/>
      <c r="M32" s="42"/>
    </row>
    <row r="33" spans="2:16" outlineLevel="1" x14ac:dyDescent="0.3">
      <c r="B33" s="42" t="s">
        <v>55</v>
      </c>
      <c r="C33" s="42"/>
      <c r="D33" s="42"/>
      <c r="E33" s="137">
        <v>20</v>
      </c>
      <c r="F33" s="139">
        <v>5</v>
      </c>
      <c r="G33" s="43"/>
      <c r="H33" s="43"/>
      <c r="I33" s="43"/>
      <c r="J33" s="43"/>
      <c r="K33" s="43"/>
      <c r="L33" s="42"/>
      <c r="M33" s="42"/>
    </row>
    <row r="34" spans="2:16" x14ac:dyDescent="0.3">
      <c r="B34" s="42"/>
      <c r="C34" s="42"/>
      <c r="D34" s="42"/>
      <c r="E34" s="143"/>
      <c r="F34" s="143"/>
    </row>
    <row r="35" spans="2:16" x14ac:dyDescent="0.3">
      <c r="B35" s="126" t="s">
        <v>248</v>
      </c>
      <c r="C35" s="127"/>
      <c r="D35" s="126"/>
      <c r="E35" s="127" t="str">
        <f t="shared" ref="E35:K35" si="1">E9</f>
        <v>R 2024</v>
      </c>
      <c r="F35" s="127" t="str">
        <f t="shared" si="1"/>
        <v>R 2025</v>
      </c>
      <c r="G35" s="128" t="str">
        <f t="shared" si="1"/>
        <v>P 2026</v>
      </c>
      <c r="H35" s="128" t="str">
        <f t="shared" si="1"/>
        <v>P 2027</v>
      </c>
      <c r="I35" s="128" t="str">
        <f t="shared" si="1"/>
        <v>P 2028</v>
      </c>
      <c r="J35" s="128" t="str">
        <f t="shared" si="1"/>
        <v>P 2029</v>
      </c>
      <c r="K35" s="128" t="str">
        <f t="shared" si="1"/>
        <v>P 2030</v>
      </c>
      <c r="L35" s="48"/>
      <c r="M35" s="79" t="s">
        <v>242</v>
      </c>
      <c r="N35" s="17"/>
      <c r="O35" s="17"/>
      <c r="P35" s="20"/>
    </row>
    <row r="36" spans="2:16" outlineLevel="1" x14ac:dyDescent="0.3">
      <c r="B36" s="42"/>
      <c r="C36" s="42"/>
      <c r="D36" s="42"/>
      <c r="E36" s="51" t="str">
        <f>IF(E74=0,"OK","CHECK")</f>
        <v>OK</v>
      </c>
      <c r="F36" s="51" t="str">
        <f>IF(F74=0,"OK","CHECK")</f>
        <v>OK</v>
      </c>
      <c r="G36" s="42"/>
      <c r="H36" s="42"/>
      <c r="I36" s="42"/>
      <c r="J36" s="42"/>
      <c r="K36" s="42"/>
      <c r="L36" s="42"/>
      <c r="M36" s="42" t="s">
        <v>249</v>
      </c>
    </row>
    <row r="37" spans="2:16" outlineLevel="1" x14ac:dyDescent="0.3">
      <c r="B37" s="42"/>
      <c r="C37" s="42"/>
      <c r="D37" s="42"/>
      <c r="E37" s="138"/>
      <c r="F37" s="138"/>
      <c r="G37" s="42"/>
      <c r="H37" s="42"/>
      <c r="I37" s="42"/>
      <c r="J37" s="42"/>
      <c r="K37" s="42"/>
      <c r="L37" s="42"/>
      <c r="M37" s="42"/>
    </row>
    <row r="38" spans="2:16" outlineLevel="1" x14ac:dyDescent="0.3">
      <c r="B38" s="52" t="str">
        <f>Balans!B7</f>
        <v>Materiële Vaste Activa</v>
      </c>
      <c r="C38" s="52"/>
      <c r="D38" s="52"/>
      <c r="E38" s="137">
        <v>450</v>
      </c>
      <c r="F38" s="137">
        <v>470</v>
      </c>
      <c r="G38" s="42"/>
      <c r="H38" s="42"/>
      <c r="I38" s="42"/>
      <c r="J38" s="42"/>
      <c r="K38" s="42"/>
      <c r="L38" s="42"/>
      <c r="M38" s="42"/>
    </row>
    <row r="39" spans="2:16" outlineLevel="1" x14ac:dyDescent="0.3">
      <c r="B39" s="53" t="str">
        <f>Balans!B8</f>
        <v>Vaste Activa</v>
      </c>
      <c r="C39" s="53"/>
      <c r="D39" s="53"/>
      <c r="E39" s="140">
        <f t="shared" ref="E39:F39" si="2">SUM(E38:E38)</f>
        <v>450</v>
      </c>
      <c r="F39" s="140">
        <f t="shared" si="2"/>
        <v>470</v>
      </c>
      <c r="G39" s="42"/>
      <c r="H39" s="42"/>
      <c r="I39" s="42"/>
      <c r="J39" s="42"/>
      <c r="K39" s="42"/>
      <c r="L39" s="42"/>
      <c r="M39" s="42"/>
    </row>
    <row r="40" spans="2:16" outlineLevel="1" x14ac:dyDescent="0.3">
      <c r="B40" s="52"/>
      <c r="C40" s="52"/>
      <c r="D40" s="52"/>
      <c r="E40" s="144"/>
      <c r="F40" s="144"/>
      <c r="G40" s="42"/>
      <c r="H40" s="42"/>
      <c r="I40" s="42"/>
      <c r="J40" s="42"/>
      <c r="K40" s="42"/>
      <c r="L40" s="42"/>
      <c r="M40" s="42"/>
    </row>
    <row r="41" spans="2:16" outlineLevel="1" x14ac:dyDescent="0.3">
      <c r="B41" s="52" t="str">
        <f>Balans!B10</f>
        <v>Voorraden</v>
      </c>
      <c r="C41" s="52"/>
      <c r="D41" s="52"/>
      <c r="E41" s="137">
        <v>25</v>
      </c>
      <c r="F41" s="137">
        <v>10</v>
      </c>
      <c r="G41" s="42"/>
      <c r="H41" s="42"/>
      <c r="I41" s="42"/>
      <c r="J41" s="42"/>
      <c r="K41" s="42"/>
      <c r="L41" s="42"/>
      <c r="M41" s="42"/>
    </row>
    <row r="42" spans="2:16" outlineLevel="1" x14ac:dyDescent="0.3">
      <c r="B42" s="52" t="str">
        <f>Balans!B11</f>
        <v>Debiteuren</v>
      </c>
      <c r="C42" s="52"/>
      <c r="D42" s="52"/>
      <c r="E42" s="137">
        <v>60</v>
      </c>
      <c r="F42" s="137">
        <v>61</v>
      </c>
      <c r="G42" s="42"/>
      <c r="H42" s="42"/>
      <c r="I42" s="42"/>
      <c r="J42" s="42"/>
      <c r="K42" s="42"/>
      <c r="L42" s="42"/>
      <c r="M42" s="42"/>
    </row>
    <row r="43" spans="2:16" outlineLevel="1" x14ac:dyDescent="0.3">
      <c r="B43" s="52" t="str">
        <f>Balans!B12</f>
        <v>Overige kortlopende activa</v>
      </c>
      <c r="C43" s="52"/>
      <c r="D43" s="52"/>
      <c r="E43" s="137">
        <v>5</v>
      </c>
      <c r="F43" s="137">
        <v>6</v>
      </c>
      <c r="G43" s="42"/>
      <c r="H43" s="42"/>
      <c r="I43" s="42"/>
      <c r="J43" s="42"/>
      <c r="K43" s="42"/>
      <c r="L43" s="42"/>
      <c r="M43" s="42"/>
    </row>
    <row r="44" spans="2:16" outlineLevel="1" x14ac:dyDescent="0.3">
      <c r="B44" s="52" t="str">
        <f>Balans!B13</f>
        <v>Liquide Middelen</v>
      </c>
      <c r="C44" s="52"/>
      <c r="D44" s="52"/>
      <c r="E44" s="137">
        <v>104</v>
      </c>
      <c r="F44" s="137">
        <v>79</v>
      </c>
      <c r="G44" s="42"/>
      <c r="H44" s="42"/>
      <c r="I44" s="42"/>
      <c r="J44" s="42"/>
      <c r="K44" s="42"/>
      <c r="L44" s="42"/>
      <c r="M44" s="42"/>
    </row>
    <row r="45" spans="2:16" outlineLevel="1" x14ac:dyDescent="0.3">
      <c r="B45" s="53" t="str">
        <f>Balans!B14</f>
        <v>Vlottende Activa</v>
      </c>
      <c r="C45" s="53"/>
      <c r="D45" s="53"/>
      <c r="E45" s="140">
        <f t="shared" ref="E45:F45" si="3">SUM(E41:E44)</f>
        <v>194</v>
      </c>
      <c r="F45" s="140">
        <f t="shared" si="3"/>
        <v>156</v>
      </c>
      <c r="G45" s="42"/>
      <c r="H45" s="42"/>
      <c r="I45" s="42"/>
      <c r="J45" s="42"/>
      <c r="K45" s="42"/>
      <c r="L45" s="42"/>
      <c r="M45" s="42"/>
    </row>
    <row r="46" spans="2:16" outlineLevel="1" x14ac:dyDescent="0.3">
      <c r="B46" s="53"/>
      <c r="C46" s="53"/>
      <c r="D46" s="53"/>
      <c r="E46" s="145"/>
      <c r="F46" s="145"/>
      <c r="G46" s="42"/>
      <c r="H46" s="42"/>
      <c r="I46" s="42"/>
      <c r="J46" s="42"/>
      <c r="K46" s="42"/>
      <c r="L46" s="42"/>
      <c r="M46" s="42"/>
    </row>
    <row r="47" spans="2:16" ht="15" outlineLevel="1" thickBot="1" x14ac:dyDescent="0.35">
      <c r="B47" s="53" t="str">
        <f>Balans!B16</f>
        <v>Activa Totaal</v>
      </c>
      <c r="C47" s="53"/>
      <c r="D47" s="53"/>
      <c r="E47" s="142">
        <f t="shared" ref="E47:F47" si="4">E39+E45</f>
        <v>644</v>
      </c>
      <c r="F47" s="142">
        <f t="shared" si="4"/>
        <v>626</v>
      </c>
      <c r="G47" s="42"/>
      <c r="H47" s="42"/>
      <c r="I47" s="42"/>
      <c r="J47" s="42"/>
      <c r="K47" s="42"/>
      <c r="L47" s="42"/>
      <c r="M47" s="42"/>
    </row>
    <row r="48" spans="2:16" ht="15" outlineLevel="1" thickTop="1" x14ac:dyDescent="0.3">
      <c r="B48" s="52"/>
      <c r="C48" s="52"/>
      <c r="D48" s="52"/>
      <c r="E48" s="144"/>
      <c r="F48" s="144"/>
      <c r="G48" s="42"/>
      <c r="H48" s="42"/>
      <c r="I48" s="42"/>
      <c r="J48" s="42"/>
      <c r="K48" s="42"/>
      <c r="L48" s="42"/>
      <c r="M48" s="42"/>
    </row>
    <row r="49" spans="2:13" outlineLevel="1" x14ac:dyDescent="0.3">
      <c r="B49" s="52" t="str">
        <f>Balans!B18</f>
        <v>Eigen Vermogen</v>
      </c>
      <c r="C49" s="52"/>
      <c r="D49" s="52"/>
      <c r="E49" s="137">
        <v>430</v>
      </c>
      <c r="F49" s="137">
        <v>431</v>
      </c>
      <c r="G49" s="42"/>
      <c r="H49" s="42"/>
      <c r="I49" s="42"/>
      <c r="J49" s="42"/>
      <c r="K49" s="42"/>
      <c r="L49" s="42"/>
      <c r="M49" s="42" t="s">
        <v>246</v>
      </c>
    </row>
    <row r="50" spans="2:13" outlineLevel="1" x14ac:dyDescent="0.3">
      <c r="B50" s="52"/>
      <c r="C50" s="52"/>
      <c r="D50" s="52"/>
      <c r="E50" s="144"/>
      <c r="F50" s="144"/>
      <c r="G50" s="42"/>
      <c r="H50" s="42"/>
      <c r="I50" s="42"/>
      <c r="J50" s="42"/>
      <c r="K50" s="42"/>
      <c r="L50" s="42"/>
      <c r="M50" s="42"/>
    </row>
    <row r="51" spans="2:13" outlineLevel="1" x14ac:dyDescent="0.3">
      <c r="B51" s="52" t="str">
        <f>Balans!B20</f>
        <v>Voorzieningen</v>
      </c>
      <c r="C51" s="52"/>
      <c r="D51" s="52"/>
      <c r="E51" s="137">
        <v>60</v>
      </c>
      <c r="F51" s="137">
        <v>10</v>
      </c>
      <c r="G51" s="42"/>
      <c r="H51" s="42"/>
      <c r="I51" s="42"/>
      <c r="J51" s="42"/>
      <c r="K51" s="42"/>
      <c r="L51" s="42"/>
      <c r="M51" s="42"/>
    </row>
    <row r="52" spans="2:13" outlineLevel="1" x14ac:dyDescent="0.3">
      <c r="B52" s="52"/>
      <c r="C52" s="52"/>
      <c r="D52" s="52"/>
      <c r="E52" s="144"/>
      <c r="F52" s="144"/>
      <c r="G52" s="42"/>
      <c r="H52" s="42"/>
      <c r="I52" s="42"/>
      <c r="J52" s="42"/>
      <c r="K52" s="42"/>
      <c r="L52" s="42"/>
      <c r="M52" s="42"/>
    </row>
    <row r="53" spans="2:13" outlineLevel="1" x14ac:dyDescent="0.3">
      <c r="B53" s="52" t="str">
        <f>Balans!B22</f>
        <v>Langlopende Schulden (LLS)</v>
      </c>
      <c r="C53" s="52"/>
      <c r="D53" s="52"/>
      <c r="E53" s="137">
        <v>70</v>
      </c>
      <c r="F53" s="137">
        <v>101</v>
      </c>
      <c r="G53" s="42"/>
      <c r="H53" s="42"/>
      <c r="I53" s="42"/>
      <c r="J53" s="42"/>
      <c r="K53" s="42"/>
      <c r="L53" s="42"/>
      <c r="M53" s="42" t="s">
        <v>283</v>
      </c>
    </row>
    <row r="54" spans="2:13" outlineLevel="1" x14ac:dyDescent="0.3">
      <c r="B54" s="52"/>
      <c r="C54" s="52"/>
      <c r="D54" s="52"/>
      <c r="E54" s="144"/>
      <c r="F54" s="144"/>
      <c r="G54" s="42"/>
      <c r="H54" s="42"/>
      <c r="I54" s="42"/>
      <c r="J54" s="42"/>
      <c r="K54" s="42"/>
      <c r="L54" s="42"/>
      <c r="M54" s="42"/>
    </row>
    <row r="55" spans="2:13" outlineLevel="1" x14ac:dyDescent="0.3">
      <c r="B55" s="52" t="str">
        <f>Balans!B24</f>
        <v>Kortlopend deel LLS</v>
      </c>
      <c r="C55" s="52"/>
      <c r="D55" s="52"/>
      <c r="E55" s="137">
        <v>10</v>
      </c>
      <c r="F55" s="137">
        <v>10</v>
      </c>
      <c r="G55" s="42"/>
      <c r="H55" s="42"/>
      <c r="I55" s="42"/>
      <c r="J55" s="42"/>
      <c r="K55" s="42"/>
      <c r="L55" s="42"/>
      <c r="M55" s="42"/>
    </row>
    <row r="56" spans="2:13" outlineLevel="1" x14ac:dyDescent="0.3">
      <c r="B56" s="52" t="str">
        <f>Balans!B25</f>
        <v>Kortlopende schulden rentedragend</v>
      </c>
      <c r="C56" s="52"/>
      <c r="D56" s="52"/>
      <c r="E56" s="137">
        <v>4</v>
      </c>
      <c r="F56" s="137">
        <v>4</v>
      </c>
      <c r="G56" s="42"/>
      <c r="H56" s="42"/>
      <c r="I56" s="42"/>
      <c r="J56" s="42"/>
      <c r="K56" s="42"/>
      <c r="L56" s="42"/>
      <c r="M56" s="42"/>
    </row>
    <row r="57" spans="2:13" outlineLevel="1" x14ac:dyDescent="0.3">
      <c r="B57" s="52" t="str">
        <f>Balans!B26</f>
        <v>Crediteuren</v>
      </c>
      <c r="C57" s="52"/>
      <c r="D57" s="52"/>
      <c r="E57" s="137">
        <v>40</v>
      </c>
      <c r="F57" s="137">
        <v>45</v>
      </c>
      <c r="G57" s="42"/>
      <c r="H57" s="42"/>
      <c r="I57" s="42"/>
      <c r="J57" s="42"/>
      <c r="K57" s="42"/>
      <c r="L57" s="42"/>
      <c r="M57" s="42"/>
    </row>
    <row r="58" spans="2:13" outlineLevel="1" x14ac:dyDescent="0.3">
      <c r="B58" s="52" t="str">
        <f>Balans!B27</f>
        <v>Overige kortlopende passiva</v>
      </c>
      <c r="C58" s="52"/>
      <c r="D58" s="52"/>
      <c r="E58" s="137">
        <v>30</v>
      </c>
      <c r="F58" s="137">
        <v>25</v>
      </c>
      <c r="G58" s="42"/>
      <c r="H58" s="42"/>
      <c r="I58" s="42"/>
      <c r="J58" s="42"/>
      <c r="K58" s="42"/>
      <c r="L58" s="42"/>
      <c r="M58" s="42"/>
    </row>
    <row r="59" spans="2:13" outlineLevel="1" x14ac:dyDescent="0.3">
      <c r="B59" s="44" t="str">
        <f>Balans!B28</f>
        <v>Vlottende Passiva</v>
      </c>
      <c r="C59" s="44"/>
      <c r="D59" s="44"/>
      <c r="E59" s="140">
        <f>SUM(E55:E58)</f>
        <v>84</v>
      </c>
      <c r="F59" s="140">
        <f>SUM(F55:F58)</f>
        <v>84</v>
      </c>
      <c r="G59" s="42"/>
      <c r="H59" s="42"/>
      <c r="I59" s="42"/>
      <c r="J59" s="42"/>
      <c r="K59" s="42"/>
      <c r="L59" s="42"/>
      <c r="M59" s="42"/>
    </row>
    <row r="60" spans="2:13" outlineLevel="1" x14ac:dyDescent="0.3">
      <c r="B60" s="42"/>
      <c r="C60" s="42"/>
      <c r="D60" s="42"/>
      <c r="E60" s="144"/>
      <c r="F60" s="144"/>
      <c r="G60" s="42"/>
      <c r="H60" s="42"/>
      <c r="I60" s="42"/>
      <c r="J60" s="42"/>
      <c r="K60" s="42"/>
      <c r="L60" s="42"/>
      <c r="M60" s="42"/>
    </row>
    <row r="61" spans="2:13" ht="15" outlineLevel="1" thickBot="1" x14ac:dyDescent="0.35">
      <c r="B61" s="44" t="str">
        <f>Balans!B30</f>
        <v>Passiva Totaal</v>
      </c>
      <c r="C61" s="44"/>
      <c r="D61" s="44"/>
      <c r="E61" s="142">
        <f>E49+E51+E53+E59</f>
        <v>644</v>
      </c>
      <c r="F61" s="142">
        <f>F49+F51+F53+F59</f>
        <v>626</v>
      </c>
      <c r="G61" s="42"/>
      <c r="H61" s="42"/>
      <c r="I61" s="42"/>
      <c r="J61" s="42"/>
      <c r="K61" s="42"/>
      <c r="L61" s="42"/>
      <c r="M61" s="42"/>
    </row>
    <row r="62" spans="2:13" ht="15" outlineLevel="1" thickTop="1" x14ac:dyDescent="0.3">
      <c r="B62" s="42"/>
      <c r="C62" s="42"/>
      <c r="D62" s="42"/>
      <c r="E62" s="144"/>
      <c r="F62" s="144"/>
      <c r="G62" s="42"/>
      <c r="H62" s="42"/>
      <c r="I62" s="42"/>
      <c r="J62" s="42"/>
      <c r="K62" s="42"/>
      <c r="L62" s="42"/>
      <c r="M62" s="42"/>
    </row>
    <row r="63" spans="2:13" x14ac:dyDescent="0.3">
      <c r="B63" s="42"/>
      <c r="C63" s="42"/>
      <c r="D63" s="42"/>
      <c r="E63" s="146"/>
      <c r="F63" s="146"/>
      <c r="G63" s="42"/>
      <c r="H63" s="42"/>
      <c r="I63" s="42"/>
      <c r="J63" s="42"/>
      <c r="K63" s="42"/>
      <c r="L63" s="42"/>
      <c r="M63" s="42"/>
    </row>
    <row r="64" spans="2:13" x14ac:dyDescent="0.3">
      <c r="B64" s="126" t="s">
        <v>150</v>
      </c>
      <c r="C64" s="129"/>
      <c r="D64" s="129"/>
      <c r="E64" s="130"/>
      <c r="F64" s="130"/>
      <c r="G64" s="130"/>
      <c r="H64" s="130"/>
      <c r="I64" s="130"/>
      <c r="J64" s="130"/>
      <c r="K64" s="130"/>
      <c r="L64" s="42"/>
      <c r="M64" s="42"/>
    </row>
    <row r="65" spans="2:13" outlineLevel="1" x14ac:dyDescent="0.3">
      <c r="B65" s="97"/>
      <c r="C65" s="54"/>
      <c r="D65" s="54"/>
      <c r="E65" s="55"/>
      <c r="F65" s="55"/>
      <c r="G65" s="55"/>
      <c r="H65" s="55"/>
      <c r="I65" s="55"/>
      <c r="J65" s="55"/>
      <c r="K65" s="55"/>
      <c r="L65" s="42"/>
      <c r="M65" s="42"/>
    </row>
    <row r="66" spans="2:13" outlineLevel="1" x14ac:dyDescent="0.3">
      <c r="B66" s="54" t="s">
        <v>157</v>
      </c>
      <c r="C66" s="54"/>
      <c r="D66" s="54"/>
      <c r="E66" s="114">
        <f>E47-E61</f>
        <v>0</v>
      </c>
      <c r="F66" s="113">
        <f>F47-F61</f>
        <v>0</v>
      </c>
      <c r="G66" s="42"/>
      <c r="H66" s="42"/>
      <c r="I66" s="42"/>
      <c r="J66" s="42"/>
      <c r="K66" s="42"/>
      <c r="L66" s="42"/>
      <c r="M66" s="54" t="s">
        <v>244</v>
      </c>
    </row>
    <row r="67" spans="2:13" outlineLevel="1" x14ac:dyDescent="0.3">
      <c r="B67" s="54"/>
      <c r="C67" s="54"/>
      <c r="D67" s="54"/>
      <c r="E67" s="55"/>
      <c r="F67" s="55"/>
      <c r="G67" s="42"/>
      <c r="H67" s="42"/>
      <c r="I67" s="42"/>
      <c r="J67" s="42"/>
      <c r="K67" s="42"/>
      <c r="L67" s="42"/>
      <c r="M67" s="54"/>
    </row>
    <row r="68" spans="2:13" outlineLevel="1" x14ac:dyDescent="0.3">
      <c r="B68" s="54" t="s">
        <v>102</v>
      </c>
      <c r="C68" s="54"/>
      <c r="D68" s="54"/>
      <c r="E68" s="55"/>
      <c r="F68" s="55">
        <f>F49-E49</f>
        <v>1</v>
      </c>
      <c r="G68" s="42"/>
      <c r="H68" s="42"/>
      <c r="I68" s="42"/>
      <c r="J68" s="42"/>
      <c r="K68" s="42"/>
      <c r="L68" s="42"/>
      <c r="M68" s="54"/>
    </row>
    <row r="69" spans="2:13" outlineLevel="1" x14ac:dyDescent="0.3">
      <c r="B69" s="54" t="str">
        <f>B31</f>
        <v>Netto resultaat</v>
      </c>
      <c r="C69" s="54"/>
      <c r="D69" s="54"/>
      <c r="E69" s="55"/>
      <c r="F69" s="55">
        <f>F31</f>
        <v>6</v>
      </c>
      <c r="G69" s="42"/>
      <c r="H69" s="42"/>
      <c r="I69" s="42"/>
      <c r="J69" s="42"/>
      <c r="K69" s="42"/>
      <c r="L69" s="42"/>
      <c r="M69" s="54"/>
    </row>
    <row r="70" spans="2:13" outlineLevel="1" x14ac:dyDescent="0.3">
      <c r="B70" s="54" t="str">
        <f>B33</f>
        <v>Dividend uitkering</v>
      </c>
      <c r="C70" s="54"/>
      <c r="D70" s="54"/>
      <c r="E70" s="55"/>
      <c r="F70" s="55">
        <f>-F33</f>
        <v>-5</v>
      </c>
      <c r="G70" s="42"/>
      <c r="H70" s="42"/>
      <c r="I70" s="42"/>
      <c r="J70" s="42"/>
      <c r="K70" s="42"/>
      <c r="L70" s="42"/>
      <c r="M70" s="54"/>
    </row>
    <row r="71" spans="2:13" outlineLevel="1" x14ac:dyDescent="0.3">
      <c r="B71" s="54" t="s">
        <v>103</v>
      </c>
      <c r="C71" s="54"/>
      <c r="D71" s="54"/>
      <c r="E71" s="55"/>
      <c r="F71" s="55">
        <f>SUM(F69:F70)</f>
        <v>1</v>
      </c>
      <c r="G71" s="42"/>
      <c r="H71" s="42"/>
      <c r="I71" s="42"/>
      <c r="J71" s="42"/>
      <c r="K71" s="42"/>
      <c r="L71" s="42"/>
      <c r="M71" s="54"/>
    </row>
    <row r="72" spans="2:13" outlineLevel="1" x14ac:dyDescent="0.3">
      <c r="B72" s="54" t="s">
        <v>158</v>
      </c>
      <c r="C72" s="54"/>
      <c r="D72" s="54"/>
      <c r="E72" s="55"/>
      <c r="F72" s="113">
        <f>F68-F71</f>
        <v>0</v>
      </c>
      <c r="G72" s="42"/>
      <c r="H72" s="42"/>
      <c r="I72" s="42"/>
      <c r="J72" s="42"/>
      <c r="K72" s="42"/>
      <c r="L72" s="42"/>
      <c r="M72" s="54" t="s">
        <v>245</v>
      </c>
    </row>
    <row r="73" spans="2:13" outlineLevel="1" x14ac:dyDescent="0.3">
      <c r="B73" s="54"/>
      <c r="C73" s="54"/>
      <c r="D73" s="54"/>
      <c r="E73" s="55"/>
      <c r="F73" s="55"/>
      <c r="G73" s="42"/>
      <c r="H73" s="42"/>
      <c r="I73" s="42"/>
      <c r="J73" s="42"/>
      <c r="K73" s="42"/>
      <c r="L73" s="42"/>
      <c r="M73" s="54"/>
    </row>
    <row r="74" spans="2:13" outlineLevel="1" x14ac:dyDescent="0.3">
      <c r="B74" s="54" t="s">
        <v>104</v>
      </c>
      <c r="C74" s="56"/>
      <c r="D74" s="56"/>
      <c r="E74" s="114">
        <f>ABS(E66)+ABS(E72)</f>
        <v>0</v>
      </c>
      <c r="F74" s="114">
        <f>ABS(F66)+ABS(F72)</f>
        <v>0</v>
      </c>
      <c r="G74" s="42"/>
      <c r="H74" s="42"/>
      <c r="I74" s="42"/>
      <c r="J74" s="42"/>
      <c r="K74" s="42"/>
      <c r="L74" s="42"/>
      <c r="M74" s="54" t="s">
        <v>243</v>
      </c>
    </row>
    <row r="75" spans="2:13" x14ac:dyDescent="0.3">
      <c r="B75" s="42"/>
      <c r="C75" s="42"/>
      <c r="D75" s="42"/>
      <c r="E75" s="42"/>
      <c r="F75" s="42"/>
      <c r="G75" s="42"/>
      <c r="H75" s="42"/>
      <c r="I75" s="42"/>
      <c r="J75" s="42"/>
      <c r="K75" s="42"/>
      <c r="L75" s="42"/>
      <c r="M75" s="42"/>
    </row>
    <row r="76" spans="2:13" x14ac:dyDescent="0.3">
      <c r="B76" s="42"/>
      <c r="C76" s="42"/>
      <c r="D76" s="42"/>
      <c r="E76" s="42"/>
      <c r="F76" s="42"/>
      <c r="G76" s="42"/>
      <c r="H76" s="42"/>
      <c r="I76" s="42"/>
      <c r="J76" s="42"/>
      <c r="K76" s="42"/>
      <c r="L76" s="42"/>
      <c r="M76" s="42"/>
    </row>
    <row r="77" spans="2:13" x14ac:dyDescent="0.3">
      <c r="B77" s="42"/>
      <c r="C77" s="42"/>
      <c r="D77" s="42"/>
      <c r="E77" s="42"/>
      <c r="F77" s="42"/>
      <c r="G77" s="42"/>
      <c r="H77" s="42"/>
      <c r="I77" s="42"/>
      <c r="J77" s="42"/>
      <c r="K77" s="42"/>
      <c r="L77" s="42"/>
      <c r="M77" s="42"/>
    </row>
  </sheetData>
  <conditionalFormatting sqref="E36:F36">
    <cfRule type="expression" dxfId="22" priority="3">
      <formula>E36="CHECK"</formula>
    </cfRule>
  </conditionalFormatting>
  <conditionalFormatting sqref="E66:F67">
    <cfRule type="expression" dxfId="21" priority="6">
      <formula>E66&lt;&gt;0</formula>
    </cfRule>
  </conditionalFormatting>
  <conditionalFormatting sqref="E74:F74">
    <cfRule type="expression" dxfId="20" priority="4">
      <formula>E74&lt;&gt;0</formula>
    </cfRule>
  </conditionalFormatting>
  <conditionalFormatting sqref="F72:F73">
    <cfRule type="expression" dxfId="19" priority="5">
      <formula>F72&lt;&gt;0</formula>
    </cfRule>
  </conditionalFormatting>
  <conditionalFormatting sqref="G2">
    <cfRule type="cellIs" dxfId="18" priority="1" operator="notEqual">
      <formula>0</formula>
    </cfRule>
    <cfRule type="cellIs" dxfId="17" priority="2" operator="equal">
      <formula>0</formula>
    </cfRule>
  </conditionalFormatting>
  <pageMargins left="0.7" right="0.7" top="0.75" bottom="0.75" header="0.3" footer="0.3"/>
  <pageSetup paperSize="9" orientation="portrait" r:id="rId1"/>
  <ignoredErrors>
    <ignoredError sqref="F71:F72" evalErro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88"/>
  <sheetViews>
    <sheetView showGridLines="0" zoomScale="90" zoomScaleNormal="90" workbookViewId="0">
      <pane ySplit="4" topLeftCell="A5" activePane="bottomLeft" state="frozen"/>
      <selection activeCell="B3" sqref="B3"/>
      <selection pane="bottomLeft" activeCell="A5" sqref="A5"/>
    </sheetView>
  </sheetViews>
  <sheetFormatPr defaultRowHeight="14.4" outlineLevelRow="1" x14ac:dyDescent="0.3"/>
  <cols>
    <col min="1" max="1" width="2.21875" customWidth="1"/>
    <col min="2" max="2" width="37.21875" customWidth="1"/>
    <col min="3" max="3" width="7.109375" customWidth="1"/>
    <col min="4" max="4" width="3.5546875" customWidth="1"/>
    <col min="5" max="11" width="8.33203125" customWidth="1"/>
    <col min="12" max="15" width="9.109375" style="4"/>
  </cols>
  <sheetData>
    <row r="1" spans="2:15" x14ac:dyDescent="0.3">
      <c r="K1" s="13" t="s">
        <v>28</v>
      </c>
    </row>
    <row r="2" spans="2:15" ht="15.6" x14ac:dyDescent="0.3">
      <c r="B2" s="12" t="s">
        <v>251</v>
      </c>
      <c r="C2" s="2"/>
      <c r="E2" s="25" t="s">
        <v>390</v>
      </c>
      <c r="F2" s="25"/>
      <c r="G2" s="169">
        <f>ErrorChecks!B5</f>
        <v>0</v>
      </c>
      <c r="K2" s="13"/>
    </row>
    <row r="4" spans="2:15" s="9" customFormat="1" ht="12" x14ac:dyDescent="0.25">
      <c r="B4" s="11" t="s">
        <v>364</v>
      </c>
      <c r="C4" s="11"/>
      <c r="D4" s="11"/>
      <c r="E4" s="83" t="str">
        <f>IF(E82=0,"OK","CHECK")</f>
        <v>OK</v>
      </c>
      <c r="F4" s="83" t="str">
        <f t="shared" ref="F4:K4" si="0">IF(F82=0,"OK","CHECK")</f>
        <v>OK</v>
      </c>
      <c r="G4" s="83" t="str">
        <f t="shared" si="0"/>
        <v>OK</v>
      </c>
      <c r="H4" s="83" t="str">
        <f t="shared" si="0"/>
        <v>OK</v>
      </c>
      <c r="I4" s="83" t="str">
        <f t="shared" si="0"/>
        <v>OK</v>
      </c>
      <c r="J4" s="83" t="str">
        <f t="shared" si="0"/>
        <v>OK</v>
      </c>
      <c r="K4" s="83" t="str">
        <f t="shared" si="0"/>
        <v>OK</v>
      </c>
      <c r="L4" s="84"/>
      <c r="M4" s="94"/>
      <c r="N4" s="84"/>
      <c r="O4" s="84"/>
    </row>
    <row r="5" spans="2:15" s="2" customFormat="1" x14ac:dyDescent="0.3">
      <c r="B5" s="126" t="s">
        <v>226</v>
      </c>
      <c r="C5" s="127"/>
      <c r="D5" s="126"/>
      <c r="E5" s="127" t="str">
        <f>RR!E5</f>
        <v>R 2024</v>
      </c>
      <c r="F5" s="127" t="str">
        <f>RR!F5</f>
        <v>R 2025</v>
      </c>
      <c r="G5" s="127" t="str">
        <f>RR!G5</f>
        <v>P 2026</v>
      </c>
      <c r="H5" s="127" t="str">
        <f>RR!H5</f>
        <v>P 2027</v>
      </c>
      <c r="I5" s="127" t="str">
        <f>RR!I5</f>
        <v>P 2028</v>
      </c>
      <c r="J5" s="127" t="str">
        <f>RR!J5</f>
        <v>P 2029</v>
      </c>
      <c r="K5" s="127" t="str">
        <f>RR!K5</f>
        <v>P 2030</v>
      </c>
      <c r="L5" s="57"/>
      <c r="M5" s="44"/>
      <c r="N5" s="57"/>
      <c r="O5" s="57"/>
    </row>
    <row r="6" spans="2:15" s="2" customFormat="1" outlineLevel="1" x14ac:dyDescent="0.3">
      <c r="B6" s="44"/>
      <c r="C6" s="44"/>
      <c r="D6" s="44"/>
      <c r="E6" s="59"/>
      <c r="F6" s="59"/>
      <c r="G6" s="59"/>
      <c r="H6" s="59"/>
      <c r="I6" s="59"/>
      <c r="J6" s="59"/>
      <c r="K6" s="59"/>
      <c r="L6" s="53"/>
      <c r="M6" s="44"/>
      <c r="N6" s="53"/>
      <c r="O6" s="53"/>
    </row>
    <row r="7" spans="2:15" s="2" customFormat="1" outlineLevel="1" x14ac:dyDescent="0.3">
      <c r="B7" s="104" t="s">
        <v>153</v>
      </c>
      <c r="C7" s="44"/>
      <c r="D7" s="44"/>
      <c r="E7" s="59"/>
      <c r="F7" s="59"/>
      <c r="G7" s="59"/>
      <c r="H7" s="59"/>
      <c r="I7" s="59"/>
      <c r="J7" s="59"/>
      <c r="K7" s="59"/>
      <c r="L7" s="53"/>
      <c r="M7" s="52" t="s">
        <v>227</v>
      </c>
      <c r="N7" s="53"/>
      <c r="O7" s="53"/>
    </row>
    <row r="8" spans="2:15" outlineLevel="1" x14ac:dyDescent="0.3">
      <c r="B8" s="102" t="s">
        <v>221</v>
      </c>
      <c r="C8" s="42"/>
      <c r="D8" s="42"/>
      <c r="E8" s="116">
        <v>1200</v>
      </c>
      <c r="F8" s="116">
        <v>1200</v>
      </c>
      <c r="G8" s="116">
        <v>1200</v>
      </c>
      <c r="H8" s="116">
        <v>1300</v>
      </c>
      <c r="I8" s="116">
        <v>1400</v>
      </c>
      <c r="J8" s="116">
        <v>1500</v>
      </c>
      <c r="K8" s="116">
        <v>1500</v>
      </c>
      <c r="L8" s="52"/>
      <c r="M8" s="52" t="s">
        <v>155</v>
      </c>
      <c r="N8" s="52"/>
      <c r="O8" s="52"/>
    </row>
    <row r="9" spans="2:15" outlineLevel="1" x14ac:dyDescent="0.3">
      <c r="B9" s="102" t="s">
        <v>156</v>
      </c>
      <c r="C9" s="42"/>
      <c r="D9" s="42"/>
      <c r="E9" s="144">
        <f>(E11*1000)/E8</f>
        <v>416.66666666666669</v>
      </c>
      <c r="F9" s="144">
        <f>(F11*1000)/F8</f>
        <v>380</v>
      </c>
      <c r="G9" s="144">
        <f>F9*(1+G10)</f>
        <v>387.6</v>
      </c>
      <c r="H9" s="144">
        <f>G9*(1+H10)</f>
        <v>395.35200000000003</v>
      </c>
      <c r="I9" s="144">
        <f>H9*(1+I10)</f>
        <v>403.25904000000003</v>
      </c>
      <c r="J9" s="144">
        <f>I9*(1+J10)</f>
        <v>411.32422080000003</v>
      </c>
      <c r="K9" s="144">
        <f>J9*(1+K10)</f>
        <v>419.55070521600004</v>
      </c>
      <c r="L9" s="52"/>
      <c r="M9" s="52" t="s">
        <v>348</v>
      </c>
      <c r="N9" s="52"/>
      <c r="O9" s="52"/>
    </row>
    <row r="10" spans="2:15" outlineLevel="1" x14ac:dyDescent="0.3">
      <c r="B10" s="102" t="s">
        <v>154</v>
      </c>
      <c r="C10" s="117">
        <v>0.02</v>
      </c>
      <c r="D10" s="42"/>
      <c r="E10" s="135"/>
      <c r="F10" s="60">
        <f>(F9-E9)/E9</f>
        <v>-8.8000000000000037E-2</v>
      </c>
      <c r="G10" s="118">
        <f>$C10</f>
        <v>0.02</v>
      </c>
      <c r="H10" s="118">
        <f t="shared" ref="H10:K10" si="1">$C10</f>
        <v>0.02</v>
      </c>
      <c r="I10" s="118">
        <f t="shared" si="1"/>
        <v>0.02</v>
      </c>
      <c r="J10" s="118">
        <f t="shared" si="1"/>
        <v>0.02</v>
      </c>
      <c r="K10" s="118">
        <f t="shared" si="1"/>
        <v>0.02</v>
      </c>
      <c r="L10" s="52"/>
      <c r="M10" s="52" t="s">
        <v>353</v>
      </c>
      <c r="N10" s="52"/>
      <c r="O10" s="52"/>
    </row>
    <row r="11" spans="2:15" s="2" customFormat="1" outlineLevel="1" x14ac:dyDescent="0.3">
      <c r="B11" s="103" t="s">
        <v>153</v>
      </c>
      <c r="C11" s="44"/>
      <c r="D11" s="44"/>
      <c r="E11" s="133">
        <f>'1. Realisatie RR en BS'!E11</f>
        <v>500</v>
      </c>
      <c r="F11" s="133">
        <f>'1. Realisatie RR en BS'!F11</f>
        <v>456</v>
      </c>
      <c r="G11" s="134">
        <f t="shared" ref="G11:K11" si="2">G8*G9/1000</f>
        <v>465.12</v>
      </c>
      <c r="H11" s="134">
        <f t="shared" si="2"/>
        <v>513.95760000000007</v>
      </c>
      <c r="I11" s="134">
        <f t="shared" si="2"/>
        <v>564.56265600000006</v>
      </c>
      <c r="J11" s="134">
        <f t="shared" si="2"/>
        <v>616.9863312</v>
      </c>
      <c r="K11" s="134">
        <f t="shared" si="2"/>
        <v>629.32605782400003</v>
      </c>
      <c r="L11" s="53"/>
      <c r="M11" s="42" t="s">
        <v>19</v>
      </c>
      <c r="N11" s="53"/>
      <c r="O11" s="53"/>
    </row>
    <row r="12" spans="2:15" outlineLevel="1" x14ac:dyDescent="0.3">
      <c r="B12" s="44"/>
      <c r="C12" s="44"/>
      <c r="D12" s="44"/>
      <c r="E12" s="70"/>
      <c r="F12" s="70"/>
      <c r="G12" s="44"/>
      <c r="H12" s="44"/>
      <c r="I12" s="44"/>
      <c r="J12" s="44"/>
      <c r="K12" s="44"/>
      <c r="L12" s="52"/>
      <c r="M12" s="52"/>
      <c r="N12" s="52"/>
      <c r="O12" s="52"/>
    </row>
    <row r="13" spans="2:15" s="4" customFormat="1" outlineLevel="1" x14ac:dyDescent="0.3">
      <c r="B13" s="104" t="s">
        <v>0</v>
      </c>
      <c r="C13" s="52"/>
      <c r="D13" s="52"/>
      <c r="E13" s="65"/>
      <c r="F13" s="65"/>
      <c r="G13" s="68"/>
      <c r="H13" s="68"/>
      <c r="I13" s="68"/>
      <c r="J13" s="68"/>
      <c r="K13" s="68"/>
      <c r="L13" s="52"/>
      <c r="M13" s="52"/>
      <c r="N13" s="52"/>
      <c r="O13" s="52"/>
    </row>
    <row r="14" spans="2:15" s="2" customFormat="1" outlineLevel="1" x14ac:dyDescent="0.3">
      <c r="B14" s="102" t="s">
        <v>271</v>
      </c>
      <c r="C14" s="117">
        <v>0.02</v>
      </c>
      <c r="D14" s="42"/>
      <c r="E14" s="136"/>
      <c r="F14" s="71">
        <f>(F15-E15)/E15</f>
        <v>0</v>
      </c>
      <c r="G14" s="47">
        <f>$C14</f>
        <v>0.02</v>
      </c>
      <c r="H14" s="47">
        <f>$C14</f>
        <v>0.02</v>
      </c>
      <c r="I14" s="47">
        <f>$C14</f>
        <v>0.02</v>
      </c>
      <c r="J14" s="47">
        <f>$C14</f>
        <v>0.02</v>
      </c>
      <c r="K14" s="47">
        <f>$C14</f>
        <v>0.02</v>
      </c>
      <c r="L14" s="53"/>
      <c r="M14" s="52" t="s">
        <v>216</v>
      </c>
      <c r="N14" s="53"/>
      <c r="O14" s="53"/>
    </row>
    <row r="15" spans="2:15" outlineLevel="1" x14ac:dyDescent="0.3">
      <c r="B15" s="105" t="s">
        <v>269</v>
      </c>
      <c r="C15" s="42"/>
      <c r="D15" s="42"/>
      <c r="E15" s="144">
        <f>E17-E16</f>
        <v>23</v>
      </c>
      <c r="F15" s="144">
        <f>F17-F16</f>
        <v>23</v>
      </c>
      <c r="G15" s="146">
        <f>F15+(F15*G14)</f>
        <v>23.46</v>
      </c>
      <c r="H15" s="146">
        <f>G15+(G15*H14)</f>
        <v>23.929200000000002</v>
      </c>
      <c r="I15" s="146">
        <f>H15+(H15*I14)</f>
        <v>24.407784000000003</v>
      </c>
      <c r="J15" s="146">
        <f>I15+(I15*J14)</f>
        <v>24.895939680000001</v>
      </c>
      <c r="K15" s="146">
        <f>J15+(J15*K14)</f>
        <v>25.393858473600002</v>
      </c>
      <c r="L15" s="52"/>
      <c r="M15" s="52"/>
      <c r="N15" s="52"/>
      <c r="O15" s="52"/>
    </row>
    <row r="16" spans="2:15" outlineLevel="1" x14ac:dyDescent="0.3">
      <c r="B16" s="105" t="s">
        <v>270</v>
      </c>
      <c r="C16" s="42"/>
      <c r="D16" s="42"/>
      <c r="E16" s="137">
        <v>0</v>
      </c>
      <c r="F16" s="137">
        <v>0</v>
      </c>
      <c r="G16" s="137">
        <v>30</v>
      </c>
      <c r="H16" s="137">
        <v>0</v>
      </c>
      <c r="I16" s="137">
        <v>0</v>
      </c>
      <c r="J16" s="137">
        <v>0</v>
      </c>
      <c r="K16" s="137">
        <v>0</v>
      </c>
      <c r="L16" s="52"/>
      <c r="M16" s="52" t="s">
        <v>155</v>
      </c>
      <c r="N16" s="52"/>
      <c r="O16" s="52"/>
    </row>
    <row r="17" spans="2:15" s="2" customFormat="1" outlineLevel="1" x14ac:dyDescent="0.3">
      <c r="B17" s="103" t="s">
        <v>0</v>
      </c>
      <c r="C17" s="44"/>
      <c r="D17" s="44"/>
      <c r="E17" s="147">
        <f>'1. Realisatie RR en BS'!E12</f>
        <v>23</v>
      </c>
      <c r="F17" s="147">
        <f>'1. Realisatie RR en BS'!F12</f>
        <v>23</v>
      </c>
      <c r="G17" s="140">
        <f>SUM(G15:G16)</f>
        <v>53.46</v>
      </c>
      <c r="H17" s="140">
        <f t="shared" ref="H17:K17" si="3">SUM(H15:H16)</f>
        <v>23.929200000000002</v>
      </c>
      <c r="I17" s="140">
        <f t="shared" si="3"/>
        <v>24.407784000000003</v>
      </c>
      <c r="J17" s="140">
        <f t="shared" si="3"/>
        <v>24.895939680000001</v>
      </c>
      <c r="K17" s="140">
        <f t="shared" si="3"/>
        <v>25.393858473600002</v>
      </c>
      <c r="L17" s="53"/>
      <c r="M17" s="42" t="s">
        <v>19</v>
      </c>
      <c r="N17" s="53"/>
      <c r="O17" s="53"/>
    </row>
    <row r="18" spans="2:15" s="2" customFormat="1" outlineLevel="1" x14ac:dyDescent="0.3">
      <c r="B18" s="42"/>
      <c r="C18" s="47"/>
      <c r="D18" s="42"/>
      <c r="E18" s="144"/>
      <c r="F18" s="144"/>
      <c r="G18" s="146"/>
      <c r="H18" s="146"/>
      <c r="I18" s="146"/>
      <c r="J18" s="146"/>
      <c r="K18" s="146"/>
      <c r="L18" s="44"/>
      <c r="M18" s="42"/>
      <c r="N18" s="44"/>
      <c r="O18" s="44"/>
    </row>
    <row r="19" spans="2:15" s="2" customFormat="1" outlineLevel="1" x14ac:dyDescent="0.3">
      <c r="B19" s="44" t="s">
        <v>1</v>
      </c>
      <c r="C19" s="69"/>
      <c r="D19" s="44"/>
      <c r="E19" s="145">
        <f t="shared" ref="E19:K19" si="4">E11+E17</f>
        <v>523</v>
      </c>
      <c r="F19" s="145">
        <f t="shared" si="4"/>
        <v>479</v>
      </c>
      <c r="G19" s="145">
        <f t="shared" si="4"/>
        <v>518.58000000000004</v>
      </c>
      <c r="H19" s="145">
        <f t="shared" si="4"/>
        <v>537.88680000000011</v>
      </c>
      <c r="I19" s="145">
        <f t="shared" si="4"/>
        <v>588.97044000000005</v>
      </c>
      <c r="J19" s="145">
        <f t="shared" si="4"/>
        <v>641.88227087999996</v>
      </c>
      <c r="K19" s="145">
        <f t="shared" si="4"/>
        <v>654.71991629759998</v>
      </c>
      <c r="L19" s="44"/>
      <c r="N19" s="44"/>
      <c r="O19" s="44"/>
    </row>
    <row r="20" spans="2:15" s="2" customFormat="1" x14ac:dyDescent="0.3">
      <c r="B20" s="42"/>
      <c r="C20" s="47"/>
      <c r="D20" s="42"/>
      <c r="E20" s="148"/>
      <c r="F20" s="148"/>
      <c r="G20" s="146"/>
      <c r="H20" s="146"/>
      <c r="I20" s="146"/>
      <c r="J20" s="146"/>
      <c r="K20" s="146"/>
      <c r="L20" s="44"/>
      <c r="M20" s="42"/>
      <c r="N20" s="44"/>
      <c r="O20" s="44"/>
    </row>
    <row r="21" spans="2:15" s="2" customFormat="1" x14ac:dyDescent="0.3">
      <c r="B21" s="126" t="s">
        <v>349</v>
      </c>
      <c r="C21" s="127"/>
      <c r="D21" s="126"/>
      <c r="E21" s="127" t="str">
        <f t="shared" ref="E21:K21" si="5">E5</f>
        <v>R 2024</v>
      </c>
      <c r="F21" s="127" t="str">
        <f t="shared" si="5"/>
        <v>R 2025</v>
      </c>
      <c r="G21" s="127" t="str">
        <f t="shared" si="5"/>
        <v>P 2026</v>
      </c>
      <c r="H21" s="127" t="str">
        <f t="shared" si="5"/>
        <v>P 2027</v>
      </c>
      <c r="I21" s="127" t="str">
        <f t="shared" si="5"/>
        <v>P 2028</v>
      </c>
      <c r="J21" s="127" t="str">
        <f t="shared" si="5"/>
        <v>P 2029</v>
      </c>
      <c r="K21" s="127" t="str">
        <f t="shared" si="5"/>
        <v>P 2030</v>
      </c>
      <c r="L21" s="57"/>
      <c r="M21" s="57"/>
      <c r="N21" s="57"/>
      <c r="O21" s="57"/>
    </row>
    <row r="22" spans="2:15" s="15" customFormat="1" outlineLevel="1" x14ac:dyDescent="0.3">
      <c r="B22" s="61"/>
      <c r="C22" s="61"/>
      <c r="D22" s="61"/>
      <c r="E22" s="62"/>
      <c r="F22" s="62"/>
      <c r="G22" s="62"/>
      <c r="H22" s="62"/>
      <c r="I22" s="62"/>
      <c r="J22" s="62"/>
      <c r="K22" s="62"/>
      <c r="L22" s="61"/>
      <c r="M22" s="61"/>
      <c r="N22" s="61"/>
      <c r="O22" s="61"/>
    </row>
    <row r="23" spans="2:15" s="16" customFormat="1" outlineLevel="1" x14ac:dyDescent="0.3">
      <c r="B23" s="75" t="s">
        <v>350</v>
      </c>
      <c r="C23" s="117">
        <v>-0.6</v>
      </c>
      <c r="D23" s="75"/>
      <c r="E23" s="60">
        <f>E24/E11</f>
        <v>-0.6</v>
      </c>
      <c r="F23" s="60">
        <f t="shared" ref="F23" si="6">F24/F11</f>
        <v>-0.70175438596491224</v>
      </c>
      <c r="G23" s="118">
        <f>$C23</f>
        <v>-0.6</v>
      </c>
      <c r="H23" s="118">
        <f t="shared" ref="H23:K23" si="7">$C23</f>
        <v>-0.6</v>
      </c>
      <c r="I23" s="118">
        <f t="shared" si="7"/>
        <v>-0.6</v>
      </c>
      <c r="J23" s="118">
        <f t="shared" si="7"/>
        <v>-0.6</v>
      </c>
      <c r="K23" s="118">
        <f t="shared" si="7"/>
        <v>-0.6</v>
      </c>
      <c r="L23" s="75"/>
      <c r="M23" s="75" t="s">
        <v>352</v>
      </c>
      <c r="N23" s="75"/>
      <c r="O23" s="75"/>
    </row>
    <row r="24" spans="2:15" s="15" customFormat="1" outlineLevel="1" x14ac:dyDescent="0.3">
      <c r="B24" s="61" t="s">
        <v>349</v>
      </c>
      <c r="C24" s="61"/>
      <c r="D24" s="61"/>
      <c r="E24" s="149">
        <f>'1. Realisatie RR en BS'!E13</f>
        <v>-300</v>
      </c>
      <c r="F24" s="149">
        <f>'1. Realisatie RR en BS'!F13</f>
        <v>-320</v>
      </c>
      <c r="G24" s="150">
        <f>G23*G11</f>
        <v>-279.072</v>
      </c>
      <c r="H24" s="150">
        <f t="shared" ref="H24:K24" si="8">H23*H11</f>
        <v>-308.37456000000003</v>
      </c>
      <c r="I24" s="150">
        <f t="shared" si="8"/>
        <v>-338.73759360000003</v>
      </c>
      <c r="J24" s="150">
        <f t="shared" si="8"/>
        <v>-370.19179872000001</v>
      </c>
      <c r="K24" s="150">
        <f t="shared" si="8"/>
        <v>-377.59563469440002</v>
      </c>
      <c r="L24" s="61"/>
      <c r="M24" s="42" t="s">
        <v>19</v>
      </c>
      <c r="N24" s="61"/>
      <c r="O24" s="61"/>
    </row>
    <row r="25" spans="2:15" s="15" customFormat="1" outlineLevel="1" x14ac:dyDescent="0.3">
      <c r="B25" s="61"/>
      <c r="C25" s="61"/>
      <c r="D25" s="61"/>
      <c r="E25" s="151"/>
      <c r="F25" s="151"/>
      <c r="G25" s="151"/>
      <c r="H25" s="151"/>
      <c r="I25" s="151"/>
      <c r="J25" s="151"/>
      <c r="K25" s="151"/>
      <c r="L25" s="61"/>
      <c r="M25" s="61"/>
      <c r="N25" s="61"/>
      <c r="O25" s="61"/>
    </row>
    <row r="26" spans="2:15" s="15" customFormat="1" outlineLevel="1" x14ac:dyDescent="0.3">
      <c r="B26" s="61" t="s">
        <v>351</v>
      </c>
      <c r="C26" s="61"/>
      <c r="D26" s="61"/>
      <c r="E26" s="145">
        <f>E19+E24</f>
        <v>223</v>
      </c>
      <c r="F26" s="145">
        <f t="shared" ref="F26:K26" si="9">F19+F24</f>
        <v>159</v>
      </c>
      <c r="G26" s="145">
        <f t="shared" si="9"/>
        <v>239.50800000000004</v>
      </c>
      <c r="H26" s="145">
        <f t="shared" si="9"/>
        <v>229.51224000000008</v>
      </c>
      <c r="I26" s="145">
        <f t="shared" si="9"/>
        <v>250.23284640000003</v>
      </c>
      <c r="J26" s="145">
        <f t="shared" si="9"/>
        <v>271.69047215999996</v>
      </c>
      <c r="K26" s="145">
        <f t="shared" si="9"/>
        <v>277.12428160319996</v>
      </c>
      <c r="L26" s="61"/>
      <c r="M26" s="61"/>
      <c r="N26" s="61"/>
      <c r="O26" s="61"/>
    </row>
    <row r="27" spans="2:15" x14ac:dyDescent="0.3">
      <c r="B27" s="42"/>
      <c r="C27" s="42"/>
      <c r="D27" s="42"/>
      <c r="E27" s="144"/>
      <c r="F27" s="144"/>
      <c r="G27" s="144"/>
      <c r="H27" s="144"/>
      <c r="I27" s="144"/>
      <c r="J27" s="144"/>
      <c r="K27" s="144"/>
      <c r="L27" s="52"/>
      <c r="M27" s="52"/>
      <c r="N27" s="42"/>
      <c r="O27" s="42"/>
    </row>
    <row r="28" spans="2:15" s="2" customFormat="1" x14ac:dyDescent="0.3">
      <c r="B28" s="126" t="s">
        <v>162</v>
      </c>
      <c r="C28" s="127"/>
      <c r="D28" s="126"/>
      <c r="E28" s="127" t="str">
        <f t="shared" ref="E28:K28" si="10">E5</f>
        <v>R 2024</v>
      </c>
      <c r="F28" s="127" t="str">
        <f t="shared" si="10"/>
        <v>R 2025</v>
      </c>
      <c r="G28" s="127" t="str">
        <f t="shared" si="10"/>
        <v>P 2026</v>
      </c>
      <c r="H28" s="127" t="str">
        <f t="shared" si="10"/>
        <v>P 2027</v>
      </c>
      <c r="I28" s="127" t="str">
        <f t="shared" si="10"/>
        <v>P 2028</v>
      </c>
      <c r="J28" s="127" t="str">
        <f t="shared" si="10"/>
        <v>P 2029</v>
      </c>
      <c r="K28" s="127" t="str">
        <f t="shared" si="10"/>
        <v>P 2030</v>
      </c>
      <c r="L28" s="57"/>
      <c r="M28" s="57"/>
      <c r="N28" s="57"/>
      <c r="O28" s="57"/>
    </row>
    <row r="29" spans="2:15" s="15" customFormat="1" outlineLevel="1" x14ac:dyDescent="0.3">
      <c r="B29" s="61"/>
      <c r="C29" s="61"/>
      <c r="D29" s="61"/>
      <c r="E29" s="62"/>
      <c r="F29" s="62"/>
      <c r="G29" s="62"/>
      <c r="H29" s="62"/>
      <c r="I29" s="62"/>
      <c r="J29" s="62"/>
      <c r="K29" s="62"/>
      <c r="L29" s="61"/>
      <c r="M29" s="61"/>
      <c r="N29" s="61"/>
      <c r="O29" s="61"/>
    </row>
    <row r="30" spans="2:15" outlineLevel="1" x14ac:dyDescent="0.3">
      <c r="B30" s="42" t="s">
        <v>306</v>
      </c>
      <c r="C30" s="117">
        <v>-0.16</v>
      </c>
      <c r="D30" s="42"/>
      <c r="E30" s="71">
        <f>E33/E11</f>
        <v>-0.15</v>
      </c>
      <c r="F30" s="71">
        <f>F33/F11</f>
        <v>-0.17105263157894737</v>
      </c>
      <c r="G30" s="117">
        <f>$C30</f>
        <v>-0.16</v>
      </c>
      <c r="H30" s="117">
        <f>$C30</f>
        <v>-0.16</v>
      </c>
      <c r="I30" s="117">
        <f>$C30</f>
        <v>-0.16</v>
      </c>
      <c r="J30" s="117">
        <f>$C30</f>
        <v>-0.16</v>
      </c>
      <c r="K30" s="117">
        <f>$C30</f>
        <v>-0.16</v>
      </c>
      <c r="L30" s="52"/>
      <c r="M30" s="52" t="s">
        <v>354</v>
      </c>
      <c r="N30" s="42"/>
      <c r="O30" s="42"/>
    </row>
    <row r="31" spans="2:15" s="1" customFormat="1" outlineLevel="1" x14ac:dyDescent="0.3">
      <c r="B31" s="43" t="s">
        <v>315</v>
      </c>
      <c r="C31" s="43"/>
      <c r="D31" s="43"/>
      <c r="E31" s="152">
        <f>'1. Realisatie RR en BS'!E16</f>
        <v>-75</v>
      </c>
      <c r="F31" s="152">
        <f>'1. Realisatie RR en BS'!F16</f>
        <v>-78</v>
      </c>
      <c r="G31" s="146">
        <f>G30*G11</f>
        <v>-74.419200000000004</v>
      </c>
      <c r="H31" s="146">
        <f t="shared" ref="H31:K31" si="11">H30*H11</f>
        <v>-82.233216000000013</v>
      </c>
      <c r="I31" s="146">
        <f t="shared" si="11"/>
        <v>-90.330024960000017</v>
      </c>
      <c r="J31" s="146">
        <f t="shared" si="11"/>
        <v>-98.717812992000006</v>
      </c>
      <c r="K31" s="146">
        <f t="shared" si="11"/>
        <v>-100.69216925184001</v>
      </c>
      <c r="L31" s="68"/>
      <c r="M31" s="68" t="s">
        <v>318</v>
      </c>
      <c r="N31" s="43"/>
      <c r="O31" s="43"/>
    </row>
    <row r="32" spans="2:15" s="1" customFormat="1" outlineLevel="1" x14ac:dyDescent="0.3">
      <c r="B32" s="43" t="s">
        <v>316</v>
      </c>
      <c r="C32" s="43"/>
      <c r="D32" s="43"/>
      <c r="E32" s="152"/>
      <c r="F32" s="152"/>
      <c r="G32" s="153">
        <v>0</v>
      </c>
      <c r="H32" s="153">
        <v>-20</v>
      </c>
      <c r="I32" s="153">
        <v>0</v>
      </c>
      <c r="J32" s="153">
        <v>0</v>
      </c>
      <c r="K32" s="153">
        <v>0</v>
      </c>
      <c r="L32" s="68"/>
      <c r="M32" s="68" t="s">
        <v>317</v>
      </c>
      <c r="N32" s="43"/>
      <c r="O32" s="43"/>
    </row>
    <row r="33" spans="2:15" outlineLevel="1" x14ac:dyDescent="0.3">
      <c r="B33" s="44" t="s">
        <v>303</v>
      </c>
      <c r="C33" s="44"/>
      <c r="D33" s="44"/>
      <c r="E33" s="145">
        <f>SUM(E31:E32)</f>
        <v>-75</v>
      </c>
      <c r="F33" s="145">
        <f t="shared" ref="F33:K33" si="12">SUM(F31:F32)</f>
        <v>-78</v>
      </c>
      <c r="G33" s="145">
        <f t="shared" si="12"/>
        <v>-74.419200000000004</v>
      </c>
      <c r="H33" s="145">
        <f t="shared" si="12"/>
        <v>-102.23321600000001</v>
      </c>
      <c r="I33" s="145">
        <f t="shared" si="12"/>
        <v>-90.330024960000017</v>
      </c>
      <c r="J33" s="145">
        <f t="shared" si="12"/>
        <v>-98.717812992000006</v>
      </c>
      <c r="K33" s="145">
        <f t="shared" si="12"/>
        <v>-100.69216925184001</v>
      </c>
      <c r="L33" s="52"/>
      <c r="M33" s="52" t="s">
        <v>19</v>
      </c>
      <c r="N33" s="42"/>
      <c r="O33" s="42"/>
    </row>
    <row r="34" spans="2:15" outlineLevel="1" x14ac:dyDescent="0.3">
      <c r="B34" s="42"/>
      <c r="C34" s="42"/>
      <c r="D34" s="42"/>
      <c r="E34" s="144"/>
      <c r="F34" s="144"/>
      <c r="G34" s="144"/>
      <c r="H34" s="144"/>
      <c r="I34" s="144"/>
      <c r="J34" s="144"/>
      <c r="K34" s="144"/>
      <c r="L34" s="52"/>
      <c r="M34" s="52"/>
      <c r="N34" s="42"/>
      <c r="O34" s="42"/>
    </row>
    <row r="35" spans="2:15" outlineLevel="1" x14ac:dyDescent="0.3">
      <c r="B35" s="42" t="s">
        <v>378</v>
      </c>
      <c r="C35" s="117">
        <v>-0.08</v>
      </c>
      <c r="D35" s="42"/>
      <c r="E35" s="71">
        <f>E38/E19</f>
        <v>-6.6921606118546847E-2</v>
      </c>
      <c r="F35" s="71">
        <f>F38/F19</f>
        <v>-9.6033402922755737E-2</v>
      </c>
      <c r="G35" s="117">
        <f>$C35</f>
        <v>-0.08</v>
      </c>
      <c r="H35" s="117">
        <f>$C35</f>
        <v>-0.08</v>
      </c>
      <c r="I35" s="117">
        <f>$C35</f>
        <v>-0.08</v>
      </c>
      <c r="J35" s="117">
        <f>$C35</f>
        <v>-0.08</v>
      </c>
      <c r="K35" s="117">
        <f>$C35</f>
        <v>-0.08</v>
      </c>
      <c r="L35" s="52"/>
      <c r="M35" s="52" t="s">
        <v>355</v>
      </c>
      <c r="N35" s="42"/>
      <c r="O35" s="42"/>
    </row>
    <row r="36" spans="2:15" s="1" customFormat="1" outlineLevel="1" x14ac:dyDescent="0.3">
      <c r="B36" s="43" t="s">
        <v>320</v>
      </c>
      <c r="C36" s="43"/>
      <c r="D36" s="43"/>
      <c r="E36" s="152">
        <f>'1. Realisatie RR en BS'!E17</f>
        <v>-35</v>
      </c>
      <c r="F36" s="152">
        <f>'1. Realisatie RR en BS'!F17</f>
        <v>-46</v>
      </c>
      <c r="G36" s="146">
        <f>G35*G19</f>
        <v>-41.486400000000003</v>
      </c>
      <c r="H36" s="146">
        <f t="shared" ref="H36:K36" si="13">H35*H19</f>
        <v>-43.030944000000012</v>
      </c>
      <c r="I36" s="146">
        <f t="shared" si="13"/>
        <v>-47.117635200000002</v>
      </c>
      <c r="J36" s="146">
        <f t="shared" si="13"/>
        <v>-51.350581670399997</v>
      </c>
      <c r="K36" s="146">
        <f t="shared" si="13"/>
        <v>-52.377593303807998</v>
      </c>
      <c r="L36" s="68"/>
      <c r="M36" s="68" t="s">
        <v>319</v>
      </c>
      <c r="N36" s="43"/>
      <c r="O36" s="43"/>
    </row>
    <row r="37" spans="2:15" s="1" customFormat="1" outlineLevel="1" x14ac:dyDescent="0.3">
      <c r="B37" s="43" t="s">
        <v>321</v>
      </c>
      <c r="C37" s="43"/>
      <c r="D37" s="43"/>
      <c r="E37" s="152"/>
      <c r="F37" s="152"/>
      <c r="G37" s="153">
        <v>0</v>
      </c>
      <c r="H37" s="153">
        <v>0</v>
      </c>
      <c r="I37" s="153">
        <v>-15</v>
      </c>
      <c r="J37" s="153">
        <v>0</v>
      </c>
      <c r="K37" s="153">
        <v>0</v>
      </c>
      <c r="L37" s="68"/>
      <c r="M37" s="68" t="s">
        <v>317</v>
      </c>
      <c r="N37" s="43"/>
      <c r="O37" s="43"/>
    </row>
    <row r="38" spans="2:15" outlineLevel="1" x14ac:dyDescent="0.3">
      <c r="B38" s="44" t="s">
        <v>304</v>
      </c>
      <c r="C38" s="44"/>
      <c r="D38" s="44"/>
      <c r="E38" s="145">
        <f>SUM(E36:E37)</f>
        <v>-35</v>
      </c>
      <c r="F38" s="145">
        <f t="shared" ref="F38" si="14">SUM(F36:F37)</f>
        <v>-46</v>
      </c>
      <c r="G38" s="145">
        <f t="shared" ref="G38" si="15">SUM(G36:G37)</f>
        <v>-41.486400000000003</v>
      </c>
      <c r="H38" s="145">
        <f t="shared" ref="H38" si="16">SUM(H36:H37)</f>
        <v>-43.030944000000012</v>
      </c>
      <c r="I38" s="145">
        <f t="shared" ref="I38" si="17">SUM(I36:I37)</f>
        <v>-62.117635200000002</v>
      </c>
      <c r="J38" s="145">
        <f t="shared" ref="J38" si="18">SUM(J36:J37)</f>
        <v>-51.350581670399997</v>
      </c>
      <c r="K38" s="145">
        <f t="shared" ref="K38" si="19">SUM(K36:K37)</f>
        <v>-52.377593303807998</v>
      </c>
      <c r="L38" s="52"/>
      <c r="M38" s="52" t="s">
        <v>19</v>
      </c>
      <c r="N38" s="42"/>
      <c r="O38" s="42"/>
    </row>
    <row r="39" spans="2:15" outlineLevel="1" x14ac:dyDescent="0.3">
      <c r="B39" s="42"/>
      <c r="C39" s="42"/>
      <c r="D39" s="42"/>
      <c r="E39" s="144"/>
      <c r="F39" s="144"/>
      <c r="G39" s="144"/>
      <c r="H39" s="144"/>
      <c r="I39" s="144"/>
      <c r="J39" s="144"/>
      <c r="K39" s="144"/>
      <c r="L39" s="52"/>
      <c r="M39" s="52"/>
      <c r="N39" s="42"/>
      <c r="O39" s="42"/>
    </row>
    <row r="40" spans="2:15" outlineLevel="1" x14ac:dyDescent="0.3">
      <c r="B40" s="44" t="s">
        <v>29</v>
      </c>
      <c r="C40" s="44"/>
      <c r="D40" s="44"/>
      <c r="E40" s="140">
        <f t="shared" ref="E40:K40" si="20">E26+E33+E38</f>
        <v>113</v>
      </c>
      <c r="F40" s="140">
        <f t="shared" si="20"/>
        <v>35</v>
      </c>
      <c r="G40" s="140">
        <f t="shared" si="20"/>
        <v>123.60240000000005</v>
      </c>
      <c r="H40" s="140">
        <f t="shared" si="20"/>
        <v>84.248080000000044</v>
      </c>
      <c r="I40" s="140">
        <f t="shared" si="20"/>
        <v>97.78518624000003</v>
      </c>
      <c r="J40" s="140">
        <f t="shared" si="20"/>
        <v>121.62207749759995</v>
      </c>
      <c r="K40" s="140">
        <f t="shared" si="20"/>
        <v>124.05451904755193</v>
      </c>
      <c r="L40" s="52"/>
      <c r="M40" s="52" t="s">
        <v>218</v>
      </c>
      <c r="N40" s="42"/>
      <c r="O40" s="42"/>
    </row>
    <row r="41" spans="2:15" outlineLevel="1" x14ac:dyDescent="0.3">
      <c r="B41" s="42"/>
      <c r="C41" s="42"/>
      <c r="D41" s="42"/>
      <c r="E41" s="144"/>
      <c r="F41" s="144"/>
      <c r="G41" s="144"/>
      <c r="H41" s="144"/>
      <c r="I41" s="144"/>
      <c r="J41" s="144"/>
      <c r="K41" s="144"/>
      <c r="L41" s="52"/>
      <c r="M41" s="52"/>
      <c r="N41" s="42"/>
      <c r="O41" s="42"/>
    </row>
    <row r="42" spans="2:15" outlineLevel="1" x14ac:dyDescent="0.3">
      <c r="B42" s="44" t="s">
        <v>159</v>
      </c>
      <c r="C42" s="44"/>
      <c r="D42" s="44"/>
      <c r="E42" s="154">
        <f>'3. Prognose BS'!E25</f>
        <v>-50</v>
      </c>
      <c r="F42" s="154">
        <f>'3. Prognose BS'!F25</f>
        <v>-60</v>
      </c>
      <c r="G42" s="154">
        <f>'3. Prognose BS'!G25</f>
        <v>-19.903794300000001</v>
      </c>
      <c r="H42" s="154">
        <f>'3. Prognose BS'!H25</f>
        <v>-23</v>
      </c>
      <c r="I42" s="154">
        <f>'3. Prognose BS'!I25</f>
        <v>-37</v>
      </c>
      <c r="J42" s="154">
        <f>'3. Prognose BS'!J25</f>
        <v>-40</v>
      </c>
      <c r="K42" s="154">
        <f>'3. Prognose BS'!K25</f>
        <v>-40</v>
      </c>
      <c r="L42" s="52"/>
      <c r="M42" s="52" t="s">
        <v>177</v>
      </c>
      <c r="N42" s="42"/>
      <c r="O42" s="42"/>
    </row>
    <row r="43" spans="2:15" outlineLevel="1" x14ac:dyDescent="0.3">
      <c r="B43" s="42"/>
      <c r="C43" s="42"/>
      <c r="D43" s="42"/>
      <c r="E43" s="144"/>
      <c r="F43" s="144"/>
      <c r="G43" s="144"/>
      <c r="H43" s="144"/>
      <c r="I43" s="144"/>
      <c r="J43" s="144"/>
      <c r="K43" s="144"/>
      <c r="L43" s="52"/>
      <c r="M43" s="52"/>
      <c r="N43" s="42"/>
      <c r="O43" s="42"/>
    </row>
    <row r="44" spans="2:15" outlineLevel="1" x14ac:dyDescent="0.3">
      <c r="B44" s="44" t="s">
        <v>65</v>
      </c>
      <c r="C44" s="44"/>
      <c r="D44" s="44"/>
      <c r="E44" s="140">
        <f>SUM(E40:E43)</f>
        <v>63</v>
      </c>
      <c r="F44" s="140">
        <f t="shared" ref="F44:K44" si="21">SUM(F40:F43)</f>
        <v>-25</v>
      </c>
      <c r="G44" s="140">
        <f t="shared" si="21"/>
        <v>103.69860570000004</v>
      </c>
      <c r="H44" s="140">
        <f t="shared" si="21"/>
        <v>61.248080000000044</v>
      </c>
      <c r="I44" s="140">
        <f t="shared" si="21"/>
        <v>60.78518624000003</v>
      </c>
      <c r="J44" s="140">
        <f t="shared" si="21"/>
        <v>81.622077497599946</v>
      </c>
      <c r="K44" s="140">
        <f t="shared" si="21"/>
        <v>84.054519047551935</v>
      </c>
      <c r="L44" s="52"/>
      <c r="M44" s="52" t="s">
        <v>217</v>
      </c>
      <c r="N44" s="42"/>
      <c r="O44" s="42"/>
    </row>
    <row r="45" spans="2:15" x14ac:dyDescent="0.3">
      <c r="B45" s="42"/>
      <c r="C45" s="42"/>
      <c r="D45" s="42"/>
      <c r="E45" s="144"/>
      <c r="F45" s="144"/>
      <c r="G45" s="144"/>
      <c r="H45" s="144"/>
      <c r="I45" s="144"/>
      <c r="J45" s="144"/>
      <c r="K45" s="144"/>
      <c r="L45" s="52"/>
      <c r="M45" s="52"/>
      <c r="N45" s="42"/>
      <c r="O45" s="42"/>
    </row>
    <row r="46" spans="2:15" s="2" customFormat="1" x14ac:dyDescent="0.3">
      <c r="B46" s="126" t="s">
        <v>163</v>
      </c>
      <c r="C46" s="127"/>
      <c r="D46" s="126"/>
      <c r="E46" s="127" t="str">
        <f t="shared" ref="E46:K46" si="22">E5</f>
        <v>R 2024</v>
      </c>
      <c r="F46" s="127" t="str">
        <f t="shared" si="22"/>
        <v>R 2025</v>
      </c>
      <c r="G46" s="127" t="str">
        <f t="shared" si="22"/>
        <v>P 2026</v>
      </c>
      <c r="H46" s="127" t="str">
        <f t="shared" si="22"/>
        <v>P 2027</v>
      </c>
      <c r="I46" s="127" t="str">
        <f t="shared" si="22"/>
        <v>P 2028</v>
      </c>
      <c r="J46" s="127" t="str">
        <f t="shared" si="22"/>
        <v>P 2029</v>
      </c>
      <c r="K46" s="127" t="str">
        <f t="shared" si="22"/>
        <v>P 2030</v>
      </c>
      <c r="L46" s="57"/>
      <c r="M46" s="57"/>
      <c r="N46" s="57"/>
      <c r="O46" s="57"/>
    </row>
    <row r="47" spans="2:15" s="2" customFormat="1" outlineLevel="1" x14ac:dyDescent="0.3">
      <c r="B47" s="44"/>
      <c r="C47" s="44"/>
      <c r="D47" s="44"/>
      <c r="E47" s="155"/>
      <c r="F47" s="155"/>
      <c r="G47" s="155"/>
      <c r="H47" s="155"/>
      <c r="I47" s="155"/>
      <c r="J47" s="155"/>
      <c r="K47" s="155"/>
      <c r="L47" s="53"/>
      <c r="M47" s="57"/>
      <c r="N47" s="57"/>
      <c r="O47" s="57"/>
    </row>
    <row r="48" spans="2:15" outlineLevel="1" x14ac:dyDescent="0.3">
      <c r="B48" s="44" t="s">
        <v>148</v>
      </c>
      <c r="C48" s="44"/>
      <c r="D48" s="44"/>
      <c r="E48" s="154">
        <f>'1. Realisatie RR en BS'!E23</f>
        <v>25</v>
      </c>
      <c r="F48" s="154">
        <f>'1. Realisatie RR en BS'!F23</f>
        <v>12</v>
      </c>
      <c r="G48" s="156">
        <v>0</v>
      </c>
      <c r="H48" s="156">
        <v>40</v>
      </c>
      <c r="I48" s="156">
        <v>0</v>
      </c>
      <c r="J48" s="156">
        <v>0</v>
      </c>
      <c r="K48" s="156">
        <v>0</v>
      </c>
      <c r="L48" s="42"/>
      <c r="M48" s="42" t="s">
        <v>356</v>
      </c>
      <c r="N48" s="42"/>
      <c r="O48" s="42"/>
    </row>
    <row r="49" spans="2:15" outlineLevel="1" x14ac:dyDescent="0.3">
      <c r="B49" s="42"/>
      <c r="C49" s="42"/>
      <c r="D49" s="42"/>
      <c r="E49" s="144"/>
      <c r="F49" s="144"/>
      <c r="G49" s="144"/>
      <c r="H49" s="144"/>
      <c r="I49" s="144"/>
      <c r="J49" s="144"/>
      <c r="K49" s="144"/>
      <c r="L49" s="42"/>
      <c r="M49" s="42"/>
      <c r="N49" s="42"/>
      <c r="O49" s="42"/>
    </row>
    <row r="50" spans="2:15" outlineLevel="1" x14ac:dyDescent="0.3">
      <c r="B50" s="44" t="s">
        <v>39</v>
      </c>
      <c r="C50" s="42"/>
      <c r="D50" s="42"/>
      <c r="E50" s="154">
        <f>'3. Prognose BS'!E32</f>
        <v>0</v>
      </c>
      <c r="F50" s="154">
        <f>'3. Prognose BS'!F32</f>
        <v>40</v>
      </c>
      <c r="G50" s="154">
        <f>'3. Prognose BS'!G32</f>
        <v>0</v>
      </c>
      <c r="H50" s="154">
        <f>'3. Prognose BS'!H32</f>
        <v>4</v>
      </c>
      <c r="I50" s="154">
        <f>'3. Prognose BS'!I32</f>
        <v>-6</v>
      </c>
      <c r="J50" s="154">
        <f>'3. Prognose BS'!J32</f>
        <v>0</v>
      </c>
      <c r="K50" s="154">
        <f>'3. Prognose BS'!K32</f>
        <v>0</v>
      </c>
      <c r="L50" s="42"/>
      <c r="M50" s="52" t="s">
        <v>177</v>
      </c>
      <c r="N50" s="42"/>
      <c r="O50" s="42"/>
    </row>
    <row r="51" spans="2:15" outlineLevel="1" x14ac:dyDescent="0.3">
      <c r="B51" s="42"/>
      <c r="C51" s="42"/>
      <c r="D51" s="42"/>
      <c r="E51" s="144"/>
      <c r="F51" s="144"/>
      <c r="G51" s="144"/>
      <c r="H51" s="144"/>
      <c r="I51" s="144"/>
      <c r="J51" s="144"/>
      <c r="K51" s="144"/>
      <c r="L51" s="42"/>
      <c r="M51" s="42"/>
      <c r="N51" s="42"/>
      <c r="O51" s="42"/>
    </row>
    <row r="52" spans="2:15" outlineLevel="1" x14ac:dyDescent="0.3">
      <c r="B52" s="44" t="s">
        <v>47</v>
      </c>
      <c r="C52" s="42"/>
      <c r="D52" s="42"/>
      <c r="E52" s="154">
        <f>'1. Realisatie RR en BS'!E25</f>
        <v>12</v>
      </c>
      <c r="F52" s="154">
        <f>'1. Realisatie RR en BS'!F25</f>
        <v>12</v>
      </c>
      <c r="G52" s="156">
        <v>10</v>
      </c>
      <c r="H52" s="156">
        <v>10</v>
      </c>
      <c r="I52" s="156">
        <v>10</v>
      </c>
      <c r="J52" s="156">
        <v>10</v>
      </c>
      <c r="K52" s="156">
        <v>10</v>
      </c>
      <c r="L52" s="58"/>
      <c r="M52" s="42" t="s">
        <v>19</v>
      </c>
      <c r="N52" s="42"/>
      <c r="O52" s="42"/>
    </row>
    <row r="53" spans="2:15" s="2" customFormat="1" outlineLevel="1" x14ac:dyDescent="0.3">
      <c r="B53" s="44"/>
      <c r="C53" s="44"/>
      <c r="D53" s="44"/>
      <c r="E53" s="157"/>
      <c r="F53" s="157"/>
      <c r="G53" s="157"/>
      <c r="H53" s="157"/>
      <c r="I53" s="157"/>
      <c r="J53" s="157"/>
      <c r="K53" s="157"/>
      <c r="L53" s="53"/>
      <c r="M53" s="57"/>
      <c r="N53" s="57"/>
      <c r="O53" s="57"/>
    </row>
    <row r="54" spans="2:15" outlineLevel="1" x14ac:dyDescent="0.3">
      <c r="B54" s="42" t="s">
        <v>289</v>
      </c>
      <c r="C54" s="42"/>
      <c r="D54" s="42"/>
      <c r="E54" s="152">
        <f>'3. Prognose BS'!E105</f>
        <v>-20</v>
      </c>
      <c r="F54" s="152">
        <f>'3. Prognose BS'!F105</f>
        <v>-25</v>
      </c>
      <c r="G54" s="152">
        <f>'3. Prognose BS'!G105</f>
        <v>-4.9500000000000011</v>
      </c>
      <c r="H54" s="152">
        <f>'3. Prognose BS'!H105</f>
        <v>-5.45</v>
      </c>
      <c r="I54" s="152">
        <f>'3. Prognose BS'!I105</f>
        <v>-5.75</v>
      </c>
      <c r="J54" s="152">
        <f>'3. Prognose BS'!J105</f>
        <v>-4.1750000000000007</v>
      </c>
      <c r="K54" s="152">
        <f>'3. Prognose BS'!K105</f>
        <v>-3.1749999999999998</v>
      </c>
      <c r="L54" s="42"/>
      <c r="M54" s="52" t="s">
        <v>160</v>
      </c>
      <c r="N54" s="42"/>
      <c r="O54" s="42"/>
    </row>
    <row r="55" spans="2:15" outlineLevel="1" x14ac:dyDescent="0.3">
      <c r="B55" s="42" t="s">
        <v>290</v>
      </c>
      <c r="C55" s="42"/>
      <c r="D55" s="42"/>
      <c r="E55" s="152">
        <f>'3. Prognose BS'!E114</f>
        <v>-5</v>
      </c>
      <c r="F55" s="152">
        <f>'3. Prognose BS'!F114</f>
        <v>-5</v>
      </c>
      <c r="G55" s="152">
        <f>'3. Prognose BS'!G114</f>
        <v>-0.14000000000000001</v>
      </c>
      <c r="H55" s="152">
        <f>'3. Prognose BS'!H114</f>
        <v>-1.7500000000000002</v>
      </c>
      <c r="I55" s="152">
        <f>'3. Prognose BS'!I114</f>
        <v>-2.6250000000000004</v>
      </c>
      <c r="J55" s="152">
        <f>'3. Prognose BS'!J114</f>
        <v>-0.87500000000000011</v>
      </c>
      <c r="K55" s="152">
        <f>'3. Prognose BS'!K114</f>
        <v>0</v>
      </c>
      <c r="L55" s="42"/>
      <c r="M55" s="52" t="s">
        <v>160</v>
      </c>
      <c r="N55" s="42"/>
      <c r="O55" s="42"/>
    </row>
    <row r="56" spans="2:15" s="2" customFormat="1" outlineLevel="1" x14ac:dyDescent="0.3">
      <c r="B56" s="44" t="s">
        <v>48</v>
      </c>
      <c r="C56" s="44"/>
      <c r="D56" s="44"/>
      <c r="E56" s="140">
        <f t="shared" ref="E56:K56" si="23">SUM(E54:E55)</f>
        <v>-25</v>
      </c>
      <c r="F56" s="140">
        <f t="shared" si="23"/>
        <v>-30</v>
      </c>
      <c r="G56" s="140">
        <f t="shared" si="23"/>
        <v>-5.0900000000000007</v>
      </c>
      <c r="H56" s="140">
        <f t="shared" si="23"/>
        <v>-7.2</v>
      </c>
      <c r="I56" s="140">
        <f t="shared" si="23"/>
        <v>-8.375</v>
      </c>
      <c r="J56" s="140">
        <f t="shared" si="23"/>
        <v>-5.0500000000000007</v>
      </c>
      <c r="K56" s="140">
        <f t="shared" si="23"/>
        <v>-3.1749999999999998</v>
      </c>
      <c r="L56" s="53"/>
      <c r="M56" s="52" t="s">
        <v>19</v>
      </c>
      <c r="N56" s="53"/>
      <c r="O56" s="53"/>
    </row>
    <row r="57" spans="2:15" x14ac:dyDescent="0.3">
      <c r="B57" s="42"/>
      <c r="C57" s="42"/>
      <c r="D57" s="42"/>
      <c r="E57" s="144"/>
      <c r="F57" s="144"/>
      <c r="G57" s="144"/>
      <c r="H57" s="144"/>
      <c r="I57" s="144"/>
      <c r="J57" s="144"/>
      <c r="K57" s="144"/>
      <c r="L57" s="42"/>
      <c r="M57" s="42"/>
      <c r="N57" s="42"/>
      <c r="O57" s="42"/>
    </row>
    <row r="58" spans="2:15" s="2" customFormat="1" x14ac:dyDescent="0.3">
      <c r="B58" s="126" t="s">
        <v>5</v>
      </c>
      <c r="C58" s="127"/>
      <c r="D58" s="126"/>
      <c r="E58" s="127" t="str">
        <f t="shared" ref="E58:K58" si="24">E5</f>
        <v>R 2024</v>
      </c>
      <c r="F58" s="127" t="str">
        <f t="shared" si="24"/>
        <v>R 2025</v>
      </c>
      <c r="G58" s="127" t="str">
        <f t="shared" si="24"/>
        <v>P 2026</v>
      </c>
      <c r="H58" s="127" t="str">
        <f t="shared" si="24"/>
        <v>P 2027</v>
      </c>
      <c r="I58" s="127" t="str">
        <f t="shared" si="24"/>
        <v>P 2028</v>
      </c>
      <c r="J58" s="127" t="str">
        <f t="shared" si="24"/>
        <v>P 2029</v>
      </c>
      <c r="K58" s="127" t="str">
        <f t="shared" si="24"/>
        <v>P 2030</v>
      </c>
      <c r="L58" s="57"/>
      <c r="M58" s="57"/>
      <c r="N58" s="57"/>
      <c r="O58" s="57"/>
    </row>
    <row r="59" spans="2:15" s="2" customFormat="1" outlineLevel="1" x14ac:dyDescent="0.3">
      <c r="B59" s="44"/>
      <c r="C59" s="44"/>
      <c r="D59" s="44"/>
      <c r="E59" s="59"/>
      <c r="F59" s="59"/>
      <c r="G59" s="59"/>
      <c r="H59" s="59"/>
      <c r="I59" s="59"/>
      <c r="J59" s="59"/>
      <c r="K59" s="59"/>
      <c r="L59" s="53"/>
      <c r="M59" s="53"/>
      <c r="N59" s="44"/>
      <c r="O59" s="44"/>
    </row>
    <row r="60" spans="2:15" outlineLevel="1" x14ac:dyDescent="0.3">
      <c r="B60" s="42" t="s">
        <v>30</v>
      </c>
      <c r="C60" s="118">
        <v>0.25</v>
      </c>
      <c r="D60" s="42"/>
      <c r="E60" s="73">
        <f>-E62/E61</f>
        <v>0.26666666666666666</v>
      </c>
      <c r="F60" s="73">
        <f>-F62/F61</f>
        <v>0.33333333333333331</v>
      </c>
      <c r="G60" s="73">
        <f>$C60</f>
        <v>0.25</v>
      </c>
      <c r="H60" s="73">
        <f t="shared" ref="H60:K60" si="25">$C60</f>
        <v>0.25</v>
      </c>
      <c r="I60" s="73">
        <f t="shared" si="25"/>
        <v>0.25</v>
      </c>
      <c r="J60" s="73">
        <f t="shared" si="25"/>
        <v>0.25</v>
      </c>
      <c r="K60" s="73">
        <f t="shared" si="25"/>
        <v>0.25</v>
      </c>
      <c r="L60" s="52"/>
      <c r="M60" s="52"/>
      <c r="N60" s="42"/>
      <c r="O60" s="42"/>
    </row>
    <row r="61" spans="2:15" s="2" customFormat="1" outlineLevel="1" x14ac:dyDescent="0.3">
      <c r="B61" s="42" t="s">
        <v>4</v>
      </c>
      <c r="C61" s="44"/>
      <c r="D61" s="44"/>
      <c r="E61" s="144">
        <f t="shared" ref="E61:K61" si="26">E44+E48+E50+E52+E56</f>
        <v>75</v>
      </c>
      <c r="F61" s="144">
        <f t="shared" si="26"/>
        <v>9</v>
      </c>
      <c r="G61" s="144">
        <f t="shared" si="26"/>
        <v>108.60860570000004</v>
      </c>
      <c r="H61" s="144">
        <f t="shared" si="26"/>
        <v>108.04808000000004</v>
      </c>
      <c r="I61" s="144">
        <f t="shared" si="26"/>
        <v>56.41018624000003</v>
      </c>
      <c r="J61" s="144">
        <f t="shared" si="26"/>
        <v>86.572077497599949</v>
      </c>
      <c r="K61" s="144">
        <f t="shared" si="26"/>
        <v>90.879519047551938</v>
      </c>
      <c r="L61" s="53"/>
      <c r="M61" s="52"/>
      <c r="N61" s="44"/>
      <c r="O61" s="44"/>
    </row>
    <row r="62" spans="2:15" s="2" customFormat="1" outlineLevel="1" x14ac:dyDescent="0.3">
      <c r="B62" s="44" t="s">
        <v>5</v>
      </c>
      <c r="C62" s="44"/>
      <c r="D62" s="44"/>
      <c r="E62" s="154">
        <f>'1. Realisatie RR en BS'!E30</f>
        <v>-20</v>
      </c>
      <c r="F62" s="154">
        <f>'1. Realisatie RR en BS'!F30</f>
        <v>-3</v>
      </c>
      <c r="G62" s="145">
        <f>G61*-G60</f>
        <v>-27.15215142500001</v>
      </c>
      <c r="H62" s="145">
        <f t="shared" ref="H62:K62" si="27">H61*-H60</f>
        <v>-27.01202000000001</v>
      </c>
      <c r="I62" s="145">
        <f t="shared" si="27"/>
        <v>-14.102546560000008</v>
      </c>
      <c r="J62" s="145">
        <f t="shared" si="27"/>
        <v>-21.643019374399987</v>
      </c>
      <c r="K62" s="145">
        <f t="shared" si="27"/>
        <v>-22.719879761887984</v>
      </c>
      <c r="L62" s="53"/>
      <c r="M62" s="52" t="s">
        <v>19</v>
      </c>
      <c r="N62" s="53"/>
      <c r="O62" s="53"/>
    </row>
    <row r="63" spans="2:15" x14ac:dyDescent="0.3">
      <c r="B63" s="42"/>
      <c r="C63" s="42"/>
      <c r="D63" s="42"/>
      <c r="E63" s="146"/>
      <c r="F63" s="146"/>
      <c r="G63" s="146"/>
      <c r="H63" s="146"/>
      <c r="I63" s="146"/>
      <c r="J63" s="146"/>
      <c r="K63" s="146"/>
      <c r="L63" s="52"/>
      <c r="M63" s="52"/>
      <c r="N63" s="42"/>
      <c r="O63" s="42"/>
    </row>
    <row r="64" spans="2:15" s="2" customFormat="1" x14ac:dyDescent="0.3">
      <c r="B64" s="126" t="s">
        <v>55</v>
      </c>
      <c r="C64" s="127"/>
      <c r="D64" s="126"/>
      <c r="E64" s="127" t="str">
        <f t="shared" ref="E64:K64" si="28">E5</f>
        <v>R 2024</v>
      </c>
      <c r="F64" s="127" t="str">
        <f t="shared" si="28"/>
        <v>R 2025</v>
      </c>
      <c r="G64" s="127" t="str">
        <f t="shared" si="28"/>
        <v>P 2026</v>
      </c>
      <c r="H64" s="127" t="str">
        <f t="shared" si="28"/>
        <v>P 2027</v>
      </c>
      <c r="I64" s="127" t="str">
        <f t="shared" si="28"/>
        <v>P 2028</v>
      </c>
      <c r="J64" s="127" t="str">
        <f t="shared" si="28"/>
        <v>P 2029</v>
      </c>
      <c r="K64" s="127" t="str">
        <f t="shared" si="28"/>
        <v>P 2030</v>
      </c>
      <c r="L64" s="57"/>
      <c r="M64" s="57"/>
      <c r="N64" s="57"/>
      <c r="O64" s="57"/>
    </row>
    <row r="65" spans="2:15" s="2" customFormat="1" outlineLevel="1" x14ac:dyDescent="0.3">
      <c r="B65" s="44"/>
      <c r="C65" s="44"/>
      <c r="D65" s="44"/>
      <c r="E65" s="158"/>
      <c r="F65" s="158"/>
      <c r="G65" s="158"/>
      <c r="H65" s="158"/>
      <c r="I65" s="158"/>
      <c r="J65" s="158"/>
      <c r="K65" s="158"/>
      <c r="L65" s="53"/>
      <c r="M65" s="53"/>
      <c r="N65" s="44"/>
      <c r="O65" s="44"/>
    </row>
    <row r="66" spans="2:15" outlineLevel="1" x14ac:dyDescent="0.3">
      <c r="B66" s="42" t="s">
        <v>152</v>
      </c>
      <c r="C66" s="42"/>
      <c r="D66" s="42"/>
      <c r="E66" s="159">
        <f t="shared" ref="E66:K66" si="29">E61+E62</f>
        <v>55</v>
      </c>
      <c r="F66" s="159">
        <f t="shared" si="29"/>
        <v>6</v>
      </c>
      <c r="G66" s="159">
        <f t="shared" si="29"/>
        <v>81.456454275000027</v>
      </c>
      <c r="H66" s="159">
        <f t="shared" si="29"/>
        <v>81.036060000000035</v>
      </c>
      <c r="I66" s="159">
        <f t="shared" si="29"/>
        <v>42.307639680000023</v>
      </c>
      <c r="J66" s="159">
        <f t="shared" si="29"/>
        <v>64.929058123199965</v>
      </c>
      <c r="K66" s="159">
        <f t="shared" si="29"/>
        <v>68.159639285663957</v>
      </c>
      <c r="L66" s="52"/>
      <c r="M66" s="52"/>
      <c r="N66" s="42"/>
      <c r="O66" s="42"/>
    </row>
    <row r="67" spans="2:15" outlineLevel="1" x14ac:dyDescent="0.3">
      <c r="B67" s="42" t="s">
        <v>172</v>
      </c>
      <c r="C67" s="42"/>
      <c r="D67" s="42"/>
      <c r="E67" s="160">
        <f>-'1. Realisatie RR en BS'!E33</f>
        <v>-20</v>
      </c>
      <c r="F67" s="160">
        <f>-'1. Realisatie RR en BS'!F33</f>
        <v>-5</v>
      </c>
      <c r="G67" s="161">
        <v>-10</v>
      </c>
      <c r="H67" s="161">
        <v>-10</v>
      </c>
      <c r="I67" s="161">
        <v>-15</v>
      </c>
      <c r="J67" s="161">
        <v>-20</v>
      </c>
      <c r="K67" s="161">
        <v>-20</v>
      </c>
      <c r="L67" s="52"/>
      <c r="M67" s="52" t="s">
        <v>357</v>
      </c>
      <c r="N67" s="42"/>
      <c r="O67" s="42"/>
    </row>
    <row r="68" spans="2:15" s="2" customFormat="1" outlineLevel="1" x14ac:dyDescent="0.3">
      <c r="B68" s="44"/>
      <c r="C68" s="44"/>
      <c r="D68" s="44"/>
      <c r="E68" s="162"/>
      <c r="F68" s="162"/>
      <c r="G68" s="163"/>
      <c r="H68" s="163"/>
      <c r="I68" s="163"/>
      <c r="J68" s="163"/>
      <c r="K68" s="163"/>
      <c r="L68" s="53"/>
      <c r="M68" s="52"/>
      <c r="N68" s="53"/>
      <c r="O68" s="53"/>
    </row>
    <row r="69" spans="2:15" outlineLevel="1" x14ac:dyDescent="0.3">
      <c r="B69" s="42" t="s">
        <v>173</v>
      </c>
      <c r="C69" s="42"/>
      <c r="D69" s="42"/>
      <c r="E69" s="159">
        <f>E66+E67</f>
        <v>35</v>
      </c>
      <c r="F69" s="159">
        <f t="shared" ref="F69:K69" si="30">F66+F67</f>
        <v>1</v>
      </c>
      <c r="G69" s="159">
        <f t="shared" si="30"/>
        <v>71.456454275000027</v>
      </c>
      <c r="H69" s="159">
        <f t="shared" si="30"/>
        <v>71.036060000000035</v>
      </c>
      <c r="I69" s="159">
        <f t="shared" si="30"/>
        <v>27.307639680000023</v>
      </c>
      <c r="J69" s="159">
        <f t="shared" si="30"/>
        <v>44.929058123199965</v>
      </c>
      <c r="K69" s="159">
        <f t="shared" si="30"/>
        <v>48.159639285663957</v>
      </c>
      <c r="L69" s="52"/>
      <c r="M69" s="52"/>
      <c r="N69" s="42"/>
      <c r="O69" s="42"/>
    </row>
    <row r="70" spans="2:15" outlineLevel="1" x14ac:dyDescent="0.3">
      <c r="B70" s="42" t="s">
        <v>66</v>
      </c>
      <c r="C70" s="42"/>
      <c r="D70" s="42"/>
      <c r="E70" s="74">
        <f>-E67/E66</f>
        <v>0.36363636363636365</v>
      </c>
      <c r="F70" s="74">
        <f t="shared" ref="F70:K70" si="31">-F67/F66</f>
        <v>0.83333333333333337</v>
      </c>
      <c r="G70" s="74">
        <f t="shared" si="31"/>
        <v>0.12276498024625068</v>
      </c>
      <c r="H70" s="74">
        <f t="shared" si="31"/>
        <v>0.12340185344647797</v>
      </c>
      <c r="I70" s="74">
        <f t="shared" si="31"/>
        <v>0.35454589557476329</v>
      </c>
      <c r="J70" s="74">
        <f t="shared" si="31"/>
        <v>0.30802849414588612</v>
      </c>
      <c r="K70" s="74">
        <f t="shared" si="31"/>
        <v>0.29342878292207464</v>
      </c>
      <c r="L70" s="52"/>
      <c r="M70" s="52"/>
      <c r="N70" s="42"/>
      <c r="O70" s="42"/>
    </row>
    <row r="71" spans="2:15" x14ac:dyDescent="0.3">
      <c r="B71" s="42"/>
      <c r="C71" s="42"/>
      <c r="D71" s="42"/>
      <c r="E71" s="67"/>
      <c r="F71" s="67"/>
      <c r="G71" s="67"/>
      <c r="H71" s="67"/>
      <c r="I71" s="67"/>
      <c r="J71" s="67"/>
      <c r="K71" s="67"/>
      <c r="L71" s="52"/>
      <c r="M71" s="52"/>
      <c r="N71" s="52"/>
      <c r="O71" s="52"/>
    </row>
    <row r="72" spans="2:15" s="2" customFormat="1" x14ac:dyDescent="0.3">
      <c r="B72" s="126" t="s">
        <v>253</v>
      </c>
      <c r="C72" s="127"/>
      <c r="D72" s="126"/>
      <c r="E72" s="127" t="str">
        <f t="shared" ref="E72:K72" si="32">E5</f>
        <v>R 2024</v>
      </c>
      <c r="F72" s="127" t="str">
        <f t="shared" si="32"/>
        <v>R 2025</v>
      </c>
      <c r="G72" s="127" t="str">
        <f t="shared" si="32"/>
        <v>P 2026</v>
      </c>
      <c r="H72" s="127" t="str">
        <f t="shared" si="32"/>
        <v>P 2027</v>
      </c>
      <c r="I72" s="127" t="str">
        <f t="shared" si="32"/>
        <v>P 2028</v>
      </c>
      <c r="J72" s="127" t="str">
        <f t="shared" si="32"/>
        <v>P 2029</v>
      </c>
      <c r="K72" s="127" t="str">
        <f t="shared" si="32"/>
        <v>P 2030</v>
      </c>
      <c r="L72" s="57"/>
      <c r="M72" s="57"/>
      <c r="N72" s="57"/>
      <c r="O72" s="57"/>
    </row>
    <row r="73" spans="2:15" s="2" customFormat="1" outlineLevel="1" x14ac:dyDescent="0.3">
      <c r="B73" s="44"/>
      <c r="C73" s="44"/>
      <c r="D73" s="44"/>
      <c r="E73" s="158"/>
      <c r="F73" s="158"/>
      <c r="G73" s="158"/>
      <c r="H73" s="158"/>
      <c r="I73" s="158"/>
      <c r="J73" s="158"/>
      <c r="K73" s="158"/>
      <c r="L73" s="53"/>
      <c r="M73" s="53"/>
      <c r="N73" s="44"/>
      <c r="O73" s="44"/>
    </row>
    <row r="74" spans="2:15" outlineLevel="1" x14ac:dyDescent="0.3">
      <c r="B74" s="42" t="s">
        <v>307</v>
      </c>
      <c r="C74" s="42"/>
      <c r="D74" s="42"/>
      <c r="E74" s="146">
        <f t="shared" ref="E74:K74" si="33">E66</f>
        <v>55</v>
      </c>
      <c r="F74" s="146">
        <f t="shared" si="33"/>
        <v>6</v>
      </c>
      <c r="G74" s="146">
        <f t="shared" si="33"/>
        <v>81.456454275000027</v>
      </c>
      <c r="H74" s="146">
        <f t="shared" si="33"/>
        <v>81.036060000000035</v>
      </c>
      <c r="I74" s="146">
        <f t="shared" si="33"/>
        <v>42.307639680000023</v>
      </c>
      <c r="J74" s="146">
        <f t="shared" si="33"/>
        <v>64.929058123199965</v>
      </c>
      <c r="K74" s="146">
        <f t="shared" si="33"/>
        <v>68.159639285663957</v>
      </c>
      <c r="L74" s="52"/>
      <c r="M74" s="52" t="s">
        <v>61</v>
      </c>
      <c r="N74" s="52"/>
      <c r="O74" s="52"/>
    </row>
    <row r="75" spans="2:15" outlineLevel="1" x14ac:dyDescent="0.3">
      <c r="B75" s="42" t="s">
        <v>308</v>
      </c>
      <c r="C75" s="56"/>
      <c r="D75" s="56"/>
      <c r="E75" s="152">
        <f>RR!E25</f>
        <v>55</v>
      </c>
      <c r="F75" s="152">
        <f>RR!F25</f>
        <v>6</v>
      </c>
      <c r="G75" s="152">
        <f>RR!G25</f>
        <v>81.456454275000027</v>
      </c>
      <c r="H75" s="152">
        <f>RR!H25</f>
        <v>81.036060000000035</v>
      </c>
      <c r="I75" s="152">
        <f>RR!I25</f>
        <v>42.307639680000023</v>
      </c>
      <c r="J75" s="152">
        <f>RR!J25</f>
        <v>64.929058123199965</v>
      </c>
      <c r="K75" s="152">
        <f>RR!K25</f>
        <v>68.159639285663957</v>
      </c>
      <c r="L75" s="80"/>
      <c r="M75" s="52" t="s">
        <v>161</v>
      </c>
      <c r="N75" s="52"/>
      <c r="O75" s="52"/>
    </row>
    <row r="76" spans="2:15" s="3" customFormat="1" outlineLevel="1" x14ac:dyDescent="0.3">
      <c r="B76" s="50" t="s">
        <v>16</v>
      </c>
      <c r="C76" s="50"/>
      <c r="D76" s="50"/>
      <c r="E76" s="174">
        <f>E74-E75</f>
        <v>0</v>
      </c>
      <c r="F76" s="174">
        <f t="shared" ref="F76:K76" si="34">F74-F75</f>
        <v>0</v>
      </c>
      <c r="G76" s="174">
        <f t="shared" si="34"/>
        <v>0</v>
      </c>
      <c r="H76" s="174">
        <f t="shared" si="34"/>
        <v>0</v>
      </c>
      <c r="I76" s="174">
        <f t="shared" si="34"/>
        <v>0</v>
      </c>
      <c r="J76" s="174">
        <f t="shared" si="34"/>
        <v>0</v>
      </c>
      <c r="K76" s="174">
        <f t="shared" si="34"/>
        <v>0</v>
      </c>
      <c r="L76" s="96"/>
      <c r="M76" s="96" t="s">
        <v>62</v>
      </c>
      <c r="N76" s="96"/>
      <c r="O76" s="96"/>
    </row>
    <row r="77" spans="2:15" outlineLevel="1" x14ac:dyDescent="0.3">
      <c r="B77" s="42"/>
      <c r="C77" s="42"/>
      <c r="D77" s="42"/>
      <c r="E77" s="146"/>
      <c r="F77" s="146"/>
      <c r="G77" s="146"/>
      <c r="H77" s="146"/>
      <c r="I77" s="146"/>
      <c r="J77" s="146"/>
      <c r="K77" s="146"/>
      <c r="L77" s="52"/>
      <c r="M77" s="52"/>
      <c r="N77" s="52"/>
      <c r="O77" s="52"/>
    </row>
    <row r="78" spans="2:15" outlineLevel="1" x14ac:dyDescent="0.3">
      <c r="B78" s="42" t="s">
        <v>307</v>
      </c>
      <c r="C78" s="42"/>
      <c r="D78" s="42"/>
      <c r="E78" s="146">
        <f>E74</f>
        <v>55</v>
      </c>
      <c r="F78" s="146">
        <f>F74</f>
        <v>6</v>
      </c>
      <c r="G78" s="164"/>
      <c r="H78" s="164"/>
      <c r="I78" s="164"/>
      <c r="J78" s="164"/>
      <c r="K78" s="164"/>
      <c r="L78" s="52"/>
      <c r="M78" s="52" t="s">
        <v>61</v>
      </c>
      <c r="N78" s="52"/>
      <c r="O78" s="52"/>
    </row>
    <row r="79" spans="2:15" outlineLevel="1" x14ac:dyDescent="0.3">
      <c r="B79" s="42" t="s">
        <v>314</v>
      </c>
      <c r="C79" s="56"/>
      <c r="D79" s="56"/>
      <c r="E79" s="152">
        <f>'1. Realisatie RR en BS'!E31</f>
        <v>55</v>
      </c>
      <c r="F79" s="152">
        <f>'1. Realisatie RR en BS'!F31</f>
        <v>6</v>
      </c>
      <c r="G79" s="165"/>
      <c r="H79" s="165"/>
      <c r="I79" s="165"/>
      <c r="J79" s="165"/>
      <c r="K79" s="165"/>
      <c r="L79" s="80"/>
      <c r="M79" s="52" t="s">
        <v>309</v>
      </c>
      <c r="N79" s="52"/>
      <c r="O79" s="52"/>
    </row>
    <row r="80" spans="2:15" s="3" customFormat="1" outlineLevel="1" x14ac:dyDescent="0.3">
      <c r="B80" s="50" t="s">
        <v>16</v>
      </c>
      <c r="C80" s="50"/>
      <c r="D80" s="50"/>
      <c r="E80" s="174">
        <f>E78-E79</f>
        <v>0</v>
      </c>
      <c r="F80" s="174">
        <f t="shared" ref="F80" si="35">F78-F79</f>
        <v>0</v>
      </c>
      <c r="G80" s="175"/>
      <c r="H80" s="175"/>
      <c r="I80" s="175"/>
      <c r="J80" s="175"/>
      <c r="K80" s="175"/>
      <c r="L80" s="96"/>
      <c r="M80" s="96" t="s">
        <v>62</v>
      </c>
      <c r="N80" s="96"/>
      <c r="O80" s="96"/>
    </row>
    <row r="81" spans="2:15" outlineLevel="1" x14ac:dyDescent="0.3">
      <c r="B81" s="42"/>
      <c r="C81" s="42"/>
      <c r="D81" s="42"/>
      <c r="E81" s="146"/>
      <c r="F81" s="146"/>
      <c r="G81" s="146"/>
      <c r="H81" s="146"/>
      <c r="I81" s="146"/>
      <c r="J81" s="146"/>
      <c r="K81" s="146"/>
      <c r="L81" s="52"/>
      <c r="M81" s="52"/>
      <c r="N81" s="52"/>
      <c r="O81" s="52"/>
    </row>
    <row r="82" spans="2:15" outlineLevel="1" x14ac:dyDescent="0.3">
      <c r="B82" s="50" t="s">
        <v>104</v>
      </c>
      <c r="C82" s="42"/>
      <c r="D82" s="42"/>
      <c r="E82" s="174">
        <f>E76+E80</f>
        <v>0</v>
      </c>
      <c r="F82" s="174">
        <f t="shared" ref="F82:K82" si="36">F76+F80</f>
        <v>0</v>
      </c>
      <c r="G82" s="174">
        <f t="shared" si="36"/>
        <v>0</v>
      </c>
      <c r="H82" s="174">
        <f t="shared" si="36"/>
        <v>0</v>
      </c>
      <c r="I82" s="174">
        <f t="shared" si="36"/>
        <v>0</v>
      </c>
      <c r="J82" s="174">
        <f t="shared" si="36"/>
        <v>0</v>
      </c>
      <c r="K82" s="174">
        <f t="shared" si="36"/>
        <v>0</v>
      </c>
      <c r="L82" s="52"/>
      <c r="M82" s="96" t="s">
        <v>82</v>
      </c>
      <c r="N82" s="52"/>
      <c r="O82" s="52"/>
    </row>
    <row r="83" spans="2:15" outlineLevel="1" x14ac:dyDescent="0.3">
      <c r="B83" s="42"/>
      <c r="C83" s="42"/>
      <c r="D83" s="42"/>
      <c r="E83" s="42"/>
      <c r="F83" s="42"/>
      <c r="G83" s="42"/>
      <c r="H83" s="42"/>
      <c r="I83" s="42"/>
      <c r="J83" s="42"/>
      <c r="K83" s="42"/>
      <c r="L83" s="52"/>
      <c r="M83" s="52"/>
      <c r="N83" s="52"/>
      <c r="O83" s="52"/>
    </row>
    <row r="84" spans="2:15" outlineLevel="1" x14ac:dyDescent="0.3">
      <c r="B84" s="42" t="s">
        <v>367</v>
      </c>
      <c r="C84" s="42"/>
      <c r="D84" s="42"/>
      <c r="E84" s="146">
        <f>'3. Prognose BS'!E25</f>
        <v>-50</v>
      </c>
      <c r="F84" s="146">
        <f>'3. Prognose BS'!F25</f>
        <v>-60</v>
      </c>
      <c r="G84" s="146">
        <f>'3. Prognose BS'!G25</f>
        <v>-19.903794300000001</v>
      </c>
      <c r="H84" s="146">
        <f>'3. Prognose BS'!H25</f>
        <v>-23</v>
      </c>
      <c r="I84" s="146">
        <f>'3. Prognose BS'!I25</f>
        <v>-37</v>
      </c>
      <c r="J84" s="146">
        <f>'3. Prognose BS'!J25</f>
        <v>-40</v>
      </c>
      <c r="K84" s="146">
        <f>'3. Prognose BS'!K25</f>
        <v>-40</v>
      </c>
      <c r="L84" s="52"/>
      <c r="M84" s="52"/>
      <c r="N84" s="52"/>
      <c r="O84" s="52"/>
    </row>
    <row r="85" spans="2:15" outlineLevel="1" x14ac:dyDescent="0.3">
      <c r="B85" s="42" t="s">
        <v>366</v>
      </c>
      <c r="C85" s="42"/>
      <c r="D85" s="42"/>
      <c r="E85" s="146">
        <f>E42</f>
        <v>-50</v>
      </c>
      <c r="F85" s="146">
        <f t="shared" ref="F85:K85" si="37">F42</f>
        <v>-60</v>
      </c>
      <c r="G85" s="146">
        <f t="shared" si="37"/>
        <v>-19.903794300000001</v>
      </c>
      <c r="H85" s="146">
        <f t="shared" si="37"/>
        <v>-23</v>
      </c>
      <c r="I85" s="146">
        <f t="shared" si="37"/>
        <v>-37</v>
      </c>
      <c r="J85" s="146">
        <f t="shared" si="37"/>
        <v>-40</v>
      </c>
      <c r="K85" s="146">
        <f t="shared" si="37"/>
        <v>-40</v>
      </c>
      <c r="L85" s="52"/>
      <c r="M85" s="52"/>
      <c r="N85" s="52"/>
      <c r="O85" s="52"/>
    </row>
    <row r="86" spans="2:15" outlineLevel="1" x14ac:dyDescent="0.3">
      <c r="B86" s="50" t="s">
        <v>16</v>
      </c>
      <c r="C86" s="50"/>
      <c r="D86" s="50"/>
      <c r="E86" s="174">
        <f>E84-E85</f>
        <v>0</v>
      </c>
      <c r="F86" s="174">
        <f t="shared" ref="F86:K86" si="38">F84-F85</f>
        <v>0</v>
      </c>
      <c r="G86" s="174">
        <f t="shared" si="38"/>
        <v>0</v>
      </c>
      <c r="H86" s="174">
        <f t="shared" si="38"/>
        <v>0</v>
      </c>
      <c r="I86" s="174">
        <f t="shared" si="38"/>
        <v>0</v>
      </c>
      <c r="J86" s="174">
        <f t="shared" si="38"/>
        <v>0</v>
      </c>
      <c r="K86" s="174">
        <f t="shared" si="38"/>
        <v>0</v>
      </c>
      <c r="L86" s="96"/>
      <c r="M86" s="96" t="s">
        <v>62</v>
      </c>
      <c r="N86" s="52"/>
      <c r="O86" s="52"/>
    </row>
    <row r="87" spans="2:15" outlineLevel="1" x14ac:dyDescent="0.3">
      <c r="B87" s="42"/>
      <c r="C87" s="42"/>
      <c r="D87" s="42"/>
      <c r="E87" s="42"/>
      <c r="F87" s="42"/>
      <c r="G87" s="42"/>
      <c r="H87" s="42"/>
      <c r="I87" s="42"/>
      <c r="J87" s="42"/>
      <c r="K87" s="42"/>
      <c r="L87" s="52"/>
      <c r="M87" s="52"/>
      <c r="N87" s="52"/>
      <c r="O87" s="52"/>
    </row>
    <row r="88" spans="2:15" x14ac:dyDescent="0.3">
      <c r="B88" s="42"/>
      <c r="C88" s="42"/>
      <c r="D88" s="42"/>
      <c r="E88" s="42"/>
      <c r="F88" s="42"/>
      <c r="G88" s="42"/>
      <c r="H88" s="42"/>
      <c r="I88" s="42"/>
      <c r="J88" s="42"/>
      <c r="K88" s="42"/>
      <c r="L88" s="52"/>
      <c r="M88" s="52"/>
      <c r="N88" s="52"/>
      <c r="O88" s="52"/>
    </row>
  </sheetData>
  <conditionalFormatting sqref="E4:K4">
    <cfRule type="expression" dxfId="16" priority="7">
      <formula>E4="CHECK"</formula>
    </cfRule>
  </conditionalFormatting>
  <conditionalFormatting sqref="E76:K76">
    <cfRule type="expression" dxfId="15" priority="8">
      <formula>E76&lt;&gt;0</formula>
    </cfRule>
  </conditionalFormatting>
  <conditionalFormatting sqref="E80:K80">
    <cfRule type="expression" dxfId="14" priority="5">
      <formula>E80&lt;&gt;0</formula>
    </cfRule>
  </conditionalFormatting>
  <conditionalFormatting sqref="E82:K82">
    <cfRule type="expression" dxfId="13" priority="4">
      <formula>E82&lt;&gt;0</formula>
    </cfRule>
  </conditionalFormatting>
  <conditionalFormatting sqref="E86:K86">
    <cfRule type="expression" dxfId="12" priority="3">
      <formula>E86&lt;&gt;0</formula>
    </cfRule>
  </conditionalFormatting>
  <conditionalFormatting sqref="G2">
    <cfRule type="cellIs" dxfId="11" priority="1" operator="notEqual">
      <formula>0</formula>
    </cfRule>
    <cfRule type="cellIs" dxfId="10" priority="2" operator="equal">
      <formula>0</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143"/>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21875" customWidth="1"/>
    <col min="2" max="2" width="41.6640625" customWidth="1"/>
    <col min="3" max="3" width="6.109375" customWidth="1"/>
    <col min="4" max="4" width="2.5546875" customWidth="1"/>
    <col min="5" max="9" width="10.33203125" customWidth="1"/>
    <col min="10" max="13" width="9.109375" style="4"/>
  </cols>
  <sheetData>
    <row r="1" spans="2:18" x14ac:dyDescent="0.3">
      <c r="K1" s="13" t="s">
        <v>28</v>
      </c>
    </row>
    <row r="2" spans="2:18" ht="15.6" x14ac:dyDescent="0.3">
      <c r="B2" s="12" t="s">
        <v>252</v>
      </c>
      <c r="E2" s="25" t="s">
        <v>390</v>
      </c>
      <c r="F2" s="25"/>
      <c r="G2" s="169">
        <f>ErrorChecks!B5</f>
        <v>0</v>
      </c>
      <c r="K2" s="13"/>
    </row>
    <row r="4" spans="2:18" s="9" customFormat="1" ht="12" x14ac:dyDescent="0.25">
      <c r="B4" s="11" t="s">
        <v>364</v>
      </c>
      <c r="E4" s="83" t="str">
        <f>IF(E137=0,"OK","CHECK")</f>
        <v>OK</v>
      </c>
      <c r="F4" s="83" t="str">
        <f t="shared" ref="F4:K4" si="0">IF(F137=0,"OK","CHECK")</f>
        <v>OK</v>
      </c>
      <c r="G4" s="83" t="str">
        <f t="shared" si="0"/>
        <v>OK</v>
      </c>
      <c r="H4" s="83" t="str">
        <f t="shared" si="0"/>
        <v>OK</v>
      </c>
      <c r="I4" s="83" t="str">
        <f t="shared" si="0"/>
        <v>OK</v>
      </c>
      <c r="J4" s="83" t="str">
        <f t="shared" si="0"/>
        <v>OK</v>
      </c>
      <c r="K4" s="83" t="str">
        <f t="shared" si="0"/>
        <v>OK</v>
      </c>
      <c r="L4" s="84"/>
      <c r="M4" s="84"/>
    </row>
    <row r="5" spans="2:18" s="2" customFormat="1" x14ac:dyDescent="0.3">
      <c r="B5" s="126" t="s">
        <v>68</v>
      </c>
      <c r="C5" s="127"/>
      <c r="D5" s="126"/>
      <c r="E5" s="127" t="str">
        <f>RR!E5</f>
        <v>R 2024</v>
      </c>
      <c r="F5" s="127" t="str">
        <f>RR!F5</f>
        <v>R 2025</v>
      </c>
      <c r="G5" s="127" t="str">
        <f>RR!G5</f>
        <v>P 2026</v>
      </c>
      <c r="H5" s="127" t="str">
        <f>RR!H5</f>
        <v>P 2027</v>
      </c>
      <c r="I5" s="127" t="str">
        <f>RR!I5</f>
        <v>P 2028</v>
      </c>
      <c r="J5" s="127" t="str">
        <f>RR!J5</f>
        <v>P 2029</v>
      </c>
      <c r="K5" s="127" t="str">
        <f>RR!K5</f>
        <v>P 2030</v>
      </c>
      <c r="L5" s="57"/>
      <c r="M5" s="57"/>
      <c r="N5" s="57"/>
      <c r="O5" s="57"/>
      <c r="P5" s="44"/>
      <c r="Q5" s="44"/>
      <c r="R5" s="44"/>
    </row>
    <row r="6" spans="2:18" outlineLevel="1" x14ac:dyDescent="0.3">
      <c r="B6" s="42"/>
      <c r="C6" s="42"/>
      <c r="D6" s="42"/>
      <c r="E6" s="144"/>
      <c r="F6" s="146"/>
      <c r="G6" s="146"/>
      <c r="H6" s="146"/>
      <c r="I6" s="146"/>
      <c r="J6" s="146"/>
      <c r="K6" s="146"/>
      <c r="L6" s="52"/>
      <c r="M6" s="52"/>
      <c r="N6" s="52"/>
      <c r="O6" s="52"/>
      <c r="P6" s="42"/>
      <c r="Q6" s="42"/>
      <c r="R6" s="42"/>
    </row>
    <row r="7" spans="2:18" s="2" customFormat="1" outlineLevel="1" x14ac:dyDescent="0.3">
      <c r="B7" s="104" t="s">
        <v>254</v>
      </c>
      <c r="C7" s="44"/>
      <c r="D7" s="44"/>
      <c r="E7" s="145"/>
      <c r="F7" s="171"/>
      <c r="G7" s="171"/>
      <c r="H7" s="171"/>
      <c r="I7" s="171"/>
      <c r="J7" s="171"/>
      <c r="K7" s="171"/>
      <c r="L7" s="53"/>
      <c r="M7" s="53"/>
      <c r="N7" s="53"/>
      <c r="O7" s="53"/>
      <c r="P7" s="44"/>
      <c r="Q7" s="44"/>
      <c r="R7" s="44"/>
    </row>
    <row r="8" spans="2:18" outlineLevel="1" x14ac:dyDescent="0.3">
      <c r="B8" s="102" t="s">
        <v>259</v>
      </c>
      <c r="C8" s="42"/>
      <c r="D8" s="42"/>
      <c r="E8" s="144">
        <f>E12-E11-E10-E9</f>
        <v>509</v>
      </c>
      <c r="F8" s="144">
        <f>E12</f>
        <v>450</v>
      </c>
      <c r="G8" s="144">
        <f t="shared" ref="G8" si="1">F12</f>
        <v>470</v>
      </c>
      <c r="H8" s="144">
        <f t="shared" ref="H8" si="2">G12</f>
        <v>454.09620569999998</v>
      </c>
      <c r="I8" s="144">
        <f t="shared" ref="I8" si="3">H12</f>
        <v>429.09620569999998</v>
      </c>
      <c r="J8" s="144">
        <f t="shared" ref="J8" si="4">I12</f>
        <v>364.09620569999998</v>
      </c>
      <c r="K8" s="144">
        <f t="shared" ref="K8" si="5">J12</f>
        <v>349.09620569999998</v>
      </c>
      <c r="L8" s="52"/>
      <c r="M8" s="52"/>
      <c r="N8" s="52"/>
      <c r="O8" s="52"/>
      <c r="P8" s="42"/>
      <c r="Q8" s="42"/>
      <c r="R8" s="42"/>
    </row>
    <row r="9" spans="2:18" outlineLevel="1" x14ac:dyDescent="0.3">
      <c r="B9" s="102" t="s">
        <v>174</v>
      </c>
      <c r="C9" s="42"/>
      <c r="D9" s="42"/>
      <c r="E9" s="137">
        <v>11</v>
      </c>
      <c r="F9" s="137">
        <v>85</v>
      </c>
      <c r="G9" s="172"/>
      <c r="H9" s="172"/>
      <c r="I9" s="172"/>
      <c r="J9" s="172"/>
      <c r="K9" s="172"/>
      <c r="L9" s="52"/>
      <c r="M9" s="52"/>
      <c r="N9" s="52"/>
      <c r="O9" s="52"/>
      <c r="P9" s="42"/>
      <c r="Q9" s="42"/>
      <c r="R9" s="42"/>
    </row>
    <row r="10" spans="2:18" outlineLevel="1" x14ac:dyDescent="0.3">
      <c r="B10" s="102" t="s">
        <v>175</v>
      </c>
      <c r="C10" s="42"/>
      <c r="D10" s="42"/>
      <c r="E10" s="137">
        <v>-20</v>
      </c>
      <c r="F10" s="137">
        <v>-5</v>
      </c>
      <c r="G10" s="137">
        <v>0</v>
      </c>
      <c r="H10" s="137">
        <v>-10</v>
      </c>
      <c r="I10" s="137">
        <v>-50</v>
      </c>
      <c r="J10" s="137">
        <v>0</v>
      </c>
      <c r="K10" s="137">
        <v>0</v>
      </c>
      <c r="L10" s="52"/>
      <c r="M10" s="52" t="s">
        <v>40</v>
      </c>
      <c r="N10" s="52"/>
      <c r="O10" s="52"/>
      <c r="P10" s="42"/>
      <c r="Q10" s="42"/>
      <c r="R10" s="42"/>
    </row>
    <row r="11" spans="2:18" outlineLevel="1" x14ac:dyDescent="0.3">
      <c r="B11" s="102" t="s">
        <v>41</v>
      </c>
      <c r="C11" s="42"/>
      <c r="D11" s="42"/>
      <c r="E11" s="152">
        <f>'1. Realisatie RR en BS'!E20</f>
        <v>-50</v>
      </c>
      <c r="F11" s="152">
        <f>'1. Realisatie RR en BS'!F20</f>
        <v>-60</v>
      </c>
      <c r="G11" s="137">
        <v>-15.903794299999999</v>
      </c>
      <c r="H11" s="137">
        <v>-15</v>
      </c>
      <c r="I11" s="137">
        <v>-15</v>
      </c>
      <c r="J11" s="137">
        <v>-15</v>
      </c>
      <c r="K11" s="137">
        <v>-15</v>
      </c>
      <c r="L11" s="52"/>
      <c r="M11" s="52" t="s">
        <v>40</v>
      </c>
      <c r="N11" s="52"/>
      <c r="O11" s="52"/>
      <c r="P11" s="42"/>
      <c r="Q11" s="42"/>
      <c r="R11" s="42"/>
    </row>
    <row r="12" spans="2:18" s="2" customFormat="1" outlineLevel="1" x14ac:dyDescent="0.3">
      <c r="B12" s="103" t="s">
        <v>176</v>
      </c>
      <c r="C12" s="44"/>
      <c r="D12" s="44"/>
      <c r="E12" s="147">
        <f>'1. Realisatie RR en BS'!E38</f>
        <v>450</v>
      </c>
      <c r="F12" s="140">
        <f>SUM(F8:F11)</f>
        <v>470</v>
      </c>
      <c r="G12" s="140">
        <f t="shared" ref="G12:K12" si="6">SUM(G8:G11)</f>
        <v>454.09620569999998</v>
      </c>
      <c r="H12" s="140">
        <f t="shared" si="6"/>
        <v>429.09620569999998</v>
      </c>
      <c r="I12" s="140">
        <f t="shared" si="6"/>
        <v>364.09620569999998</v>
      </c>
      <c r="J12" s="140">
        <f t="shared" si="6"/>
        <v>349.09620569999998</v>
      </c>
      <c r="K12" s="140">
        <f t="shared" si="6"/>
        <v>334.09620569999998</v>
      </c>
      <c r="L12" s="53"/>
      <c r="M12" s="52"/>
      <c r="N12" s="53"/>
      <c r="O12" s="53"/>
      <c r="P12" s="44"/>
      <c r="Q12" s="44"/>
      <c r="R12" s="44"/>
    </row>
    <row r="13" spans="2:18" outlineLevel="1" x14ac:dyDescent="0.3">
      <c r="B13" s="42"/>
      <c r="C13" s="42"/>
      <c r="D13" s="42"/>
      <c r="E13" s="144"/>
      <c r="F13" s="144"/>
      <c r="G13" s="144"/>
      <c r="H13" s="144"/>
      <c r="I13" s="144"/>
      <c r="J13" s="144"/>
      <c r="K13" s="144"/>
      <c r="L13" s="52"/>
      <c r="M13" s="52"/>
      <c r="N13" s="52"/>
      <c r="O13" s="52"/>
      <c r="P13" s="42"/>
      <c r="Q13" s="42"/>
      <c r="R13" s="42"/>
    </row>
    <row r="14" spans="2:18" outlineLevel="1" x14ac:dyDescent="0.3">
      <c r="B14" s="104" t="s">
        <v>255</v>
      </c>
      <c r="C14" s="42"/>
      <c r="D14" s="42"/>
      <c r="E14" s="144"/>
      <c r="F14" s="146"/>
      <c r="G14" s="146"/>
      <c r="H14" s="146"/>
      <c r="I14" s="146"/>
      <c r="J14" s="146"/>
      <c r="K14" s="146"/>
      <c r="L14" s="52"/>
      <c r="M14" s="52" t="s">
        <v>365</v>
      </c>
      <c r="N14" s="52"/>
      <c r="O14" s="52"/>
      <c r="P14" s="42"/>
      <c r="Q14" s="42"/>
      <c r="R14" s="42"/>
    </row>
    <row r="15" spans="2:18" outlineLevel="1" x14ac:dyDescent="0.3">
      <c r="B15" s="102" t="s">
        <v>260</v>
      </c>
      <c r="C15" s="42"/>
      <c r="D15" s="42"/>
      <c r="E15" s="172"/>
      <c r="F15" s="172"/>
      <c r="G15" s="144">
        <f t="shared" ref="G15" si="7">F19</f>
        <v>0</v>
      </c>
      <c r="H15" s="144">
        <f t="shared" ref="H15" si="8">G19</f>
        <v>36</v>
      </c>
      <c r="I15" s="144">
        <f t="shared" ref="I15" si="9">H19</f>
        <v>68</v>
      </c>
      <c r="J15" s="144">
        <f t="shared" ref="J15" si="10">I19</f>
        <v>246</v>
      </c>
      <c r="K15" s="144">
        <f t="shared" ref="K15" si="11">J19</f>
        <v>261</v>
      </c>
      <c r="L15" s="52"/>
      <c r="M15" s="52"/>
      <c r="N15" s="52"/>
      <c r="O15" s="52"/>
      <c r="P15" s="42"/>
      <c r="Q15" s="42"/>
      <c r="R15" s="42"/>
    </row>
    <row r="16" spans="2:18" outlineLevel="1" x14ac:dyDescent="0.3">
      <c r="B16" s="102" t="s">
        <v>174</v>
      </c>
      <c r="C16" s="42"/>
      <c r="D16" s="42"/>
      <c r="E16" s="172"/>
      <c r="F16" s="172"/>
      <c r="G16" s="137">
        <v>40</v>
      </c>
      <c r="H16" s="137">
        <v>40</v>
      </c>
      <c r="I16" s="137">
        <v>200</v>
      </c>
      <c r="J16" s="137">
        <v>40</v>
      </c>
      <c r="K16" s="137">
        <v>40</v>
      </c>
      <c r="L16" s="52"/>
      <c r="M16" s="52"/>
      <c r="N16" s="52"/>
      <c r="O16" s="52"/>
      <c r="P16" s="42"/>
      <c r="Q16" s="42"/>
      <c r="R16" s="42"/>
    </row>
    <row r="17" spans="2:18" outlineLevel="1" x14ac:dyDescent="0.3">
      <c r="B17" s="102" t="s">
        <v>175</v>
      </c>
      <c r="C17" s="42"/>
      <c r="D17" s="42"/>
      <c r="E17" s="172"/>
      <c r="F17" s="172"/>
      <c r="G17" s="137">
        <v>0</v>
      </c>
      <c r="H17" s="137">
        <v>0</v>
      </c>
      <c r="I17" s="137">
        <v>0</v>
      </c>
      <c r="J17" s="137">
        <v>0</v>
      </c>
      <c r="K17" s="137">
        <v>0</v>
      </c>
      <c r="L17" s="52"/>
      <c r="M17" s="52" t="s">
        <v>40</v>
      </c>
      <c r="N17" s="52"/>
      <c r="O17" s="52"/>
      <c r="P17" s="42"/>
      <c r="Q17" s="42"/>
      <c r="R17" s="42"/>
    </row>
    <row r="18" spans="2:18" outlineLevel="1" x14ac:dyDescent="0.3">
      <c r="B18" s="102" t="s">
        <v>41</v>
      </c>
      <c r="C18" s="42"/>
      <c r="D18" s="42"/>
      <c r="E18" s="165"/>
      <c r="F18" s="165"/>
      <c r="G18" s="137">
        <v>-4</v>
      </c>
      <c r="H18" s="137">
        <v>-8</v>
      </c>
      <c r="I18" s="137">
        <v>-22</v>
      </c>
      <c r="J18" s="137">
        <v>-25</v>
      </c>
      <c r="K18" s="137">
        <v>-25</v>
      </c>
      <c r="L18" s="52"/>
      <c r="M18" s="52" t="s">
        <v>40</v>
      </c>
      <c r="N18" s="52"/>
      <c r="O18" s="52"/>
      <c r="P18" s="42"/>
      <c r="Q18" s="42"/>
      <c r="R18" s="42"/>
    </row>
    <row r="19" spans="2:18" s="2" customFormat="1" outlineLevel="1" x14ac:dyDescent="0.3">
      <c r="B19" s="103" t="s">
        <v>257</v>
      </c>
      <c r="C19" s="44"/>
      <c r="D19" s="44"/>
      <c r="E19" s="185"/>
      <c r="F19" s="186"/>
      <c r="G19" s="140">
        <f t="shared" ref="G19:K19" si="12">SUM(G15:G18)</f>
        <v>36</v>
      </c>
      <c r="H19" s="140">
        <f t="shared" si="12"/>
        <v>68</v>
      </c>
      <c r="I19" s="140">
        <f t="shared" si="12"/>
        <v>246</v>
      </c>
      <c r="J19" s="140">
        <f t="shared" si="12"/>
        <v>261</v>
      </c>
      <c r="K19" s="140">
        <f t="shared" si="12"/>
        <v>276</v>
      </c>
      <c r="L19" s="53"/>
      <c r="M19" s="52"/>
      <c r="N19" s="53"/>
      <c r="O19" s="53"/>
      <c r="P19" s="44"/>
      <c r="Q19" s="44"/>
      <c r="R19" s="44"/>
    </row>
    <row r="20" spans="2:18" outlineLevel="1" x14ac:dyDescent="0.3">
      <c r="B20" s="42"/>
      <c r="C20" s="42"/>
      <c r="D20" s="42"/>
      <c r="E20" s="144"/>
      <c r="F20" s="144"/>
      <c r="G20" s="144"/>
      <c r="H20" s="144"/>
      <c r="I20" s="144"/>
      <c r="J20" s="144"/>
      <c r="K20" s="144"/>
      <c r="L20" s="52"/>
      <c r="M20" s="52"/>
      <c r="N20" s="52"/>
      <c r="O20" s="52"/>
      <c r="P20" s="42"/>
      <c r="Q20" s="42"/>
      <c r="R20" s="42"/>
    </row>
    <row r="21" spans="2:18" outlineLevel="1" x14ac:dyDescent="0.3">
      <c r="B21" s="104" t="s">
        <v>256</v>
      </c>
      <c r="C21" s="42"/>
      <c r="D21" s="42"/>
      <c r="E21" s="144"/>
      <c r="F21" s="144"/>
      <c r="G21" s="144"/>
      <c r="H21" s="144"/>
      <c r="I21" s="144"/>
      <c r="J21" s="144"/>
      <c r="K21" s="144"/>
      <c r="L21" s="52"/>
      <c r="M21" s="52"/>
      <c r="N21" s="52"/>
      <c r="O21" s="52"/>
      <c r="P21" s="42"/>
      <c r="Q21" s="42"/>
      <c r="R21" s="42"/>
    </row>
    <row r="22" spans="2:18" outlineLevel="1" x14ac:dyDescent="0.3">
      <c r="B22" s="102" t="s">
        <v>51</v>
      </c>
      <c r="C22" s="42"/>
      <c r="D22" s="42"/>
      <c r="E22" s="144">
        <f>E8+E15</f>
        <v>509</v>
      </c>
      <c r="F22" s="144">
        <f>E26</f>
        <v>450</v>
      </c>
      <c r="G22" s="144">
        <f t="shared" ref="G22:K22" si="13">F26</f>
        <v>470</v>
      </c>
      <c r="H22" s="144">
        <f t="shared" si="13"/>
        <v>490.09620569999998</v>
      </c>
      <c r="I22" s="144">
        <f t="shared" si="13"/>
        <v>497.09620569999993</v>
      </c>
      <c r="J22" s="144">
        <f t="shared" si="13"/>
        <v>610.09620569999993</v>
      </c>
      <c r="K22" s="144">
        <f t="shared" si="13"/>
        <v>610.09620569999993</v>
      </c>
      <c r="L22" s="52"/>
      <c r="M22" s="52"/>
      <c r="N22" s="52"/>
      <c r="O22" s="52"/>
      <c r="P22" s="42"/>
      <c r="Q22" s="42"/>
      <c r="R22" s="42"/>
    </row>
    <row r="23" spans="2:18" outlineLevel="1" x14ac:dyDescent="0.3">
      <c r="B23" s="102" t="s">
        <v>174</v>
      </c>
      <c r="C23" s="42"/>
      <c r="D23" s="42"/>
      <c r="E23" s="144">
        <f>E9+E16</f>
        <v>11</v>
      </c>
      <c r="F23" s="144">
        <f t="shared" ref="F23:K23" si="14">F9+F16</f>
        <v>85</v>
      </c>
      <c r="G23" s="144">
        <f t="shared" si="14"/>
        <v>40</v>
      </c>
      <c r="H23" s="144">
        <f t="shared" si="14"/>
        <v>40</v>
      </c>
      <c r="I23" s="144">
        <f t="shared" si="14"/>
        <v>200</v>
      </c>
      <c r="J23" s="144">
        <f t="shared" si="14"/>
        <v>40</v>
      </c>
      <c r="K23" s="144">
        <f t="shared" si="14"/>
        <v>40</v>
      </c>
      <c r="L23" s="52"/>
      <c r="M23" s="52" t="s">
        <v>20</v>
      </c>
      <c r="N23" s="52"/>
      <c r="O23" s="52"/>
      <c r="P23" s="42"/>
      <c r="Q23" s="42"/>
      <c r="R23" s="42"/>
    </row>
    <row r="24" spans="2:18" outlineLevel="1" x14ac:dyDescent="0.3">
      <c r="B24" s="102" t="s">
        <v>175</v>
      </c>
      <c r="C24" s="42"/>
      <c r="D24" s="42"/>
      <c r="E24" s="144">
        <f>E10+E17</f>
        <v>-20</v>
      </c>
      <c r="F24" s="144">
        <f t="shared" ref="F24:K24" si="15">F10+F17</f>
        <v>-5</v>
      </c>
      <c r="G24" s="144">
        <f t="shared" si="15"/>
        <v>0</v>
      </c>
      <c r="H24" s="144">
        <f t="shared" si="15"/>
        <v>-10</v>
      </c>
      <c r="I24" s="144">
        <f t="shared" si="15"/>
        <v>-50</v>
      </c>
      <c r="J24" s="144">
        <f t="shared" si="15"/>
        <v>0</v>
      </c>
      <c r="K24" s="144">
        <f t="shared" si="15"/>
        <v>0</v>
      </c>
      <c r="L24" s="52"/>
      <c r="M24" s="52" t="s">
        <v>40</v>
      </c>
      <c r="N24" s="52"/>
      <c r="O24" s="52"/>
      <c r="P24" s="42"/>
      <c r="Q24" s="42"/>
      <c r="R24" s="42"/>
    </row>
    <row r="25" spans="2:18" outlineLevel="1" x14ac:dyDescent="0.3">
      <c r="B25" s="102" t="s">
        <v>41</v>
      </c>
      <c r="C25" s="42"/>
      <c r="D25" s="42"/>
      <c r="E25" s="144">
        <f>E11+E18</f>
        <v>-50</v>
      </c>
      <c r="F25" s="144">
        <f t="shared" ref="F25:K25" si="16">F11+F18</f>
        <v>-60</v>
      </c>
      <c r="G25" s="144">
        <f t="shared" si="16"/>
        <v>-19.903794300000001</v>
      </c>
      <c r="H25" s="144">
        <f t="shared" si="16"/>
        <v>-23</v>
      </c>
      <c r="I25" s="144">
        <f t="shared" si="16"/>
        <v>-37</v>
      </c>
      <c r="J25" s="144">
        <f t="shared" si="16"/>
        <v>-40</v>
      </c>
      <c r="K25" s="144">
        <f t="shared" si="16"/>
        <v>-40</v>
      </c>
      <c r="L25" s="52"/>
      <c r="M25" s="52" t="s">
        <v>261</v>
      </c>
      <c r="N25" s="52"/>
      <c r="O25" s="52"/>
      <c r="P25" s="42"/>
      <c r="Q25" s="42"/>
      <c r="R25" s="42"/>
    </row>
    <row r="26" spans="2:18" s="2" customFormat="1" outlineLevel="1" x14ac:dyDescent="0.3">
      <c r="B26" s="103" t="s">
        <v>258</v>
      </c>
      <c r="C26" s="44"/>
      <c r="D26" s="44"/>
      <c r="E26" s="140">
        <f>SUM(E22:E25)</f>
        <v>450</v>
      </c>
      <c r="F26" s="140">
        <f t="shared" ref="F26:K26" si="17">SUM(F22:F25)</f>
        <v>470</v>
      </c>
      <c r="G26" s="140">
        <f t="shared" si="17"/>
        <v>490.09620569999998</v>
      </c>
      <c r="H26" s="140">
        <f t="shared" si="17"/>
        <v>497.09620569999993</v>
      </c>
      <c r="I26" s="140">
        <f t="shared" si="17"/>
        <v>610.09620569999993</v>
      </c>
      <c r="J26" s="140">
        <f t="shared" si="17"/>
        <v>610.09620569999993</v>
      </c>
      <c r="K26" s="140">
        <f t="shared" si="17"/>
        <v>610.09620569999993</v>
      </c>
      <c r="L26" s="53"/>
      <c r="M26" s="52" t="s">
        <v>45</v>
      </c>
      <c r="N26" s="53"/>
      <c r="O26" s="53"/>
      <c r="P26" s="44"/>
      <c r="Q26" s="44"/>
      <c r="R26" s="44"/>
    </row>
    <row r="27" spans="2:18" outlineLevel="1" x14ac:dyDescent="0.3">
      <c r="B27" s="95" t="s">
        <v>16</v>
      </c>
      <c r="C27" s="42"/>
      <c r="D27" s="42"/>
      <c r="E27" s="173">
        <f>'1. Realisatie RR en BS'!E38</f>
        <v>450</v>
      </c>
      <c r="F27" s="173">
        <f>'1. Realisatie RR en BS'!F38</f>
        <v>470</v>
      </c>
      <c r="G27" s="144"/>
      <c r="H27" s="144"/>
      <c r="I27" s="144"/>
      <c r="J27" s="144"/>
      <c r="K27" s="144"/>
      <c r="L27" s="52"/>
      <c r="M27" s="96" t="s">
        <v>220</v>
      </c>
      <c r="N27" s="52"/>
      <c r="O27" s="52"/>
      <c r="P27" s="42"/>
      <c r="Q27" s="42"/>
      <c r="R27" s="42"/>
    </row>
    <row r="28" spans="2:18" outlineLevel="1" x14ac:dyDescent="0.3">
      <c r="B28" s="42"/>
      <c r="C28" s="42"/>
      <c r="D28" s="42"/>
      <c r="E28" s="144"/>
      <c r="F28" s="144"/>
      <c r="G28" s="144"/>
      <c r="H28" s="144"/>
      <c r="I28" s="144"/>
      <c r="J28" s="144"/>
      <c r="K28" s="144"/>
      <c r="L28" s="52"/>
      <c r="M28" s="52"/>
      <c r="N28" s="52"/>
      <c r="O28" s="52"/>
      <c r="P28" s="42"/>
      <c r="Q28" s="42"/>
      <c r="R28" s="42"/>
    </row>
    <row r="29" spans="2:18" s="4" customFormat="1" outlineLevel="1" x14ac:dyDescent="0.3">
      <c r="B29" s="104" t="s">
        <v>42</v>
      </c>
      <c r="C29" s="42"/>
      <c r="D29" s="42"/>
      <c r="E29" s="144"/>
      <c r="F29" s="144"/>
      <c r="G29" s="144"/>
      <c r="H29" s="144"/>
      <c r="I29" s="144"/>
      <c r="J29" s="144"/>
      <c r="K29" s="144"/>
      <c r="L29" s="52"/>
      <c r="M29" s="52"/>
      <c r="N29" s="52"/>
      <c r="O29" s="52"/>
      <c r="P29" s="52"/>
      <c r="Q29" s="52"/>
      <c r="R29" s="52"/>
    </row>
    <row r="30" spans="2:18" s="4" customFormat="1" outlineLevel="1" x14ac:dyDescent="0.3">
      <c r="B30" s="102" t="s">
        <v>18</v>
      </c>
      <c r="C30" s="42"/>
      <c r="D30" s="42"/>
      <c r="E30" s="144">
        <f>E32-E31</f>
        <v>20</v>
      </c>
      <c r="F30" s="144">
        <f>F32-F31</f>
        <v>45</v>
      </c>
      <c r="G30" s="137">
        <v>0</v>
      </c>
      <c r="H30" s="137">
        <v>14</v>
      </c>
      <c r="I30" s="137">
        <v>44</v>
      </c>
      <c r="J30" s="137">
        <v>0</v>
      </c>
      <c r="K30" s="137">
        <v>0</v>
      </c>
      <c r="L30" s="52"/>
      <c r="M30" s="52" t="s">
        <v>20</v>
      </c>
      <c r="N30" s="52"/>
      <c r="O30" s="52"/>
      <c r="P30" s="52"/>
      <c r="Q30" s="52"/>
      <c r="R30" s="52"/>
    </row>
    <row r="31" spans="2:18" s="4" customFormat="1" outlineLevel="1" x14ac:dyDescent="0.3">
      <c r="B31" s="102" t="s">
        <v>17</v>
      </c>
      <c r="C31" s="42"/>
      <c r="D31" s="42"/>
      <c r="E31" s="144">
        <f>E24</f>
        <v>-20</v>
      </c>
      <c r="F31" s="144">
        <f t="shared" ref="F31:K31" si="18">F24</f>
        <v>-5</v>
      </c>
      <c r="G31" s="144">
        <f t="shared" si="18"/>
        <v>0</v>
      </c>
      <c r="H31" s="144">
        <f t="shared" si="18"/>
        <v>-10</v>
      </c>
      <c r="I31" s="144">
        <f t="shared" si="18"/>
        <v>-50</v>
      </c>
      <c r="J31" s="144">
        <f t="shared" si="18"/>
        <v>0</v>
      </c>
      <c r="K31" s="144">
        <f t="shared" si="18"/>
        <v>0</v>
      </c>
      <c r="L31" s="52"/>
      <c r="M31" s="52" t="str">
        <f ca="1">"Kopie rij "&amp;_xlfn.FORMULATEXT(K31)</f>
        <v>Kopie rij =K24</v>
      </c>
      <c r="N31" s="52"/>
      <c r="O31" s="52"/>
      <c r="P31" s="52"/>
      <c r="Q31" s="52"/>
      <c r="R31" s="52"/>
    </row>
    <row r="32" spans="2:18" s="4" customFormat="1" outlineLevel="1" x14ac:dyDescent="0.3">
      <c r="B32" s="103" t="s">
        <v>39</v>
      </c>
      <c r="C32" s="44"/>
      <c r="D32" s="44"/>
      <c r="E32" s="147">
        <f>'1. Realisatie RR en BS'!E24</f>
        <v>0</v>
      </c>
      <c r="F32" s="147">
        <f>'1. Realisatie RR en BS'!F24</f>
        <v>40</v>
      </c>
      <c r="G32" s="140">
        <f>SUM(G30:G31)</f>
        <v>0</v>
      </c>
      <c r="H32" s="140">
        <f t="shared" ref="H32:K32" si="19">SUM(H30:H31)</f>
        <v>4</v>
      </c>
      <c r="I32" s="140">
        <f t="shared" si="19"/>
        <v>-6</v>
      </c>
      <c r="J32" s="140">
        <f t="shared" si="19"/>
        <v>0</v>
      </c>
      <c r="K32" s="140">
        <f t="shared" si="19"/>
        <v>0</v>
      </c>
      <c r="L32" s="52"/>
      <c r="M32" s="52" t="s">
        <v>261</v>
      </c>
      <c r="N32" s="52"/>
      <c r="O32" s="52"/>
      <c r="P32" s="52"/>
      <c r="Q32" s="52"/>
      <c r="R32" s="52"/>
    </row>
    <row r="33" spans="2:18" s="4" customFormat="1" x14ac:dyDescent="0.3">
      <c r="B33" s="42"/>
      <c r="C33" s="42"/>
      <c r="D33" s="42"/>
      <c r="E33" s="144"/>
      <c r="F33" s="146"/>
      <c r="G33" s="146"/>
      <c r="H33" s="146"/>
      <c r="I33" s="146"/>
      <c r="J33" s="146"/>
      <c r="K33" s="146"/>
      <c r="L33" s="52"/>
      <c r="M33" s="52"/>
      <c r="N33" s="52"/>
      <c r="O33" s="52"/>
      <c r="P33" s="52"/>
      <c r="Q33" s="52"/>
      <c r="R33" s="52"/>
    </row>
    <row r="34" spans="2:18" s="2" customFormat="1" x14ac:dyDescent="0.3">
      <c r="B34" s="126" t="s">
        <v>69</v>
      </c>
      <c r="C34" s="127"/>
      <c r="D34" s="126"/>
      <c r="E34" s="127" t="str">
        <f>E$5</f>
        <v>R 2024</v>
      </c>
      <c r="F34" s="127" t="str">
        <f t="shared" ref="F34:K34" si="20">F$5</f>
        <v>R 2025</v>
      </c>
      <c r="G34" s="127" t="str">
        <f t="shared" si="20"/>
        <v>P 2026</v>
      </c>
      <c r="H34" s="127" t="str">
        <f t="shared" si="20"/>
        <v>P 2027</v>
      </c>
      <c r="I34" s="127" t="str">
        <f t="shared" si="20"/>
        <v>P 2028</v>
      </c>
      <c r="J34" s="127" t="str">
        <f t="shared" si="20"/>
        <v>P 2029</v>
      </c>
      <c r="K34" s="127" t="str">
        <f t="shared" si="20"/>
        <v>P 2030</v>
      </c>
      <c r="L34" s="57"/>
      <c r="M34" s="57"/>
      <c r="N34" s="44"/>
      <c r="O34" s="44"/>
      <c r="P34" s="44"/>
      <c r="Q34" s="44"/>
      <c r="R34" s="44"/>
    </row>
    <row r="35" spans="2:18" s="2" customFormat="1" outlineLevel="1" x14ac:dyDescent="0.3">
      <c r="B35" s="97"/>
      <c r="C35" s="48"/>
      <c r="D35" s="97"/>
      <c r="E35" s="48"/>
      <c r="F35" s="48"/>
      <c r="G35" s="48"/>
      <c r="H35" s="48"/>
      <c r="I35" s="48"/>
      <c r="J35" s="48"/>
      <c r="K35" s="48"/>
      <c r="L35" s="97"/>
      <c r="M35" s="97"/>
      <c r="N35" s="44"/>
      <c r="O35" s="44"/>
      <c r="P35" s="44"/>
      <c r="Q35" s="44"/>
      <c r="R35" s="44"/>
    </row>
    <row r="36" spans="2:18" s="25" customFormat="1" outlineLevel="1" x14ac:dyDescent="0.3">
      <c r="B36" s="95" t="s">
        <v>310</v>
      </c>
      <c r="C36" s="98"/>
      <c r="D36" s="64"/>
      <c r="E36" s="98"/>
      <c r="F36" s="98"/>
      <c r="G36" s="98"/>
      <c r="H36" s="98"/>
      <c r="I36" s="98"/>
      <c r="J36" s="98"/>
      <c r="K36" s="98"/>
      <c r="L36" s="64"/>
      <c r="M36" s="64"/>
      <c r="N36" s="64"/>
      <c r="O36" s="64"/>
      <c r="P36" s="64"/>
      <c r="Q36" s="64"/>
      <c r="R36" s="64"/>
    </row>
    <row r="37" spans="2:18" s="25" customFormat="1" outlineLevel="1" x14ac:dyDescent="0.3">
      <c r="B37" s="64" t="str">
        <f>'2. Prognose RR'!B11</f>
        <v>Opbrengsten (p*q) productgroep 1</v>
      </c>
      <c r="C37" s="98"/>
      <c r="D37" s="64"/>
      <c r="E37" s="176">
        <f>'2. Prognose RR'!E11</f>
        <v>500</v>
      </c>
      <c r="F37" s="176">
        <f>'2. Prognose RR'!F11</f>
        <v>456</v>
      </c>
      <c r="G37" s="176">
        <f>'2. Prognose RR'!G11</f>
        <v>465.12</v>
      </c>
      <c r="H37" s="176">
        <f>'2. Prognose RR'!H11</f>
        <v>513.95760000000007</v>
      </c>
      <c r="I37" s="176">
        <f>'2. Prognose RR'!I11</f>
        <v>564.56265600000006</v>
      </c>
      <c r="J37" s="176">
        <f>'2. Prognose RR'!J11</f>
        <v>616.9863312</v>
      </c>
      <c r="K37" s="176">
        <f>'2. Prognose RR'!K11</f>
        <v>629.32605782400003</v>
      </c>
      <c r="L37" s="64"/>
      <c r="M37" s="64" t="s">
        <v>262</v>
      </c>
      <c r="N37" s="64"/>
      <c r="O37" s="64"/>
      <c r="P37" s="64"/>
      <c r="Q37" s="64"/>
      <c r="R37" s="64"/>
    </row>
    <row r="38" spans="2:18" s="25" customFormat="1" outlineLevel="1" x14ac:dyDescent="0.3">
      <c r="B38" s="64" t="str">
        <f>'2. Prognose RR'!B24</f>
        <v>Inkoopwaarde omzet</v>
      </c>
      <c r="C38" s="98"/>
      <c r="D38" s="64"/>
      <c r="E38" s="176">
        <f>'2. Prognose RR'!E24</f>
        <v>-300</v>
      </c>
      <c r="F38" s="176">
        <f>'2. Prognose RR'!F24</f>
        <v>-320</v>
      </c>
      <c r="G38" s="176">
        <f>'2. Prognose RR'!G24</f>
        <v>-279.072</v>
      </c>
      <c r="H38" s="176">
        <f>'2. Prognose RR'!H24</f>
        <v>-308.37456000000003</v>
      </c>
      <c r="I38" s="176">
        <f>'2. Prognose RR'!I24</f>
        <v>-338.73759360000003</v>
      </c>
      <c r="J38" s="176">
        <f>'2. Prognose RR'!J24</f>
        <v>-370.19179872000001</v>
      </c>
      <c r="K38" s="176">
        <f>'2. Prognose RR'!K24</f>
        <v>-377.59563469440002</v>
      </c>
      <c r="L38" s="64"/>
      <c r="M38" s="64" t="s">
        <v>262</v>
      </c>
      <c r="N38" s="64"/>
      <c r="O38" s="64"/>
      <c r="P38" s="64"/>
      <c r="Q38" s="64"/>
      <c r="R38" s="64"/>
    </row>
    <row r="39" spans="2:18" s="25" customFormat="1" outlineLevel="1" x14ac:dyDescent="0.3">
      <c r="B39" s="64"/>
      <c r="C39" s="98"/>
      <c r="D39" s="64"/>
      <c r="E39" s="177"/>
      <c r="F39" s="177"/>
      <c r="G39" s="177"/>
      <c r="H39" s="177"/>
      <c r="I39" s="177"/>
      <c r="J39" s="177"/>
      <c r="K39" s="177"/>
      <c r="L39" s="64"/>
      <c r="M39" s="64"/>
      <c r="N39" s="64"/>
      <c r="O39" s="64"/>
      <c r="P39" s="64"/>
      <c r="Q39" s="64"/>
      <c r="R39" s="64"/>
    </row>
    <row r="40" spans="2:18" outlineLevel="1" x14ac:dyDescent="0.3">
      <c r="B40" s="42" t="s">
        <v>369</v>
      </c>
      <c r="C40" s="116">
        <v>7</v>
      </c>
      <c r="D40" s="42"/>
      <c r="E40" s="58">
        <f>E41/(-E38/365)</f>
        <v>30.416666666666668</v>
      </c>
      <c r="F40" s="58">
        <f>F41/(-F38/365)</f>
        <v>11.40625</v>
      </c>
      <c r="G40" s="58">
        <f>$C40</f>
        <v>7</v>
      </c>
      <c r="H40" s="58">
        <f>$C40</f>
        <v>7</v>
      </c>
      <c r="I40" s="58">
        <f>$C40</f>
        <v>7</v>
      </c>
      <c r="J40" s="58">
        <f>$C40</f>
        <v>7</v>
      </c>
      <c r="K40" s="58">
        <f>$C40</f>
        <v>7</v>
      </c>
      <c r="L40" s="52"/>
      <c r="M40" s="52" t="s">
        <v>267</v>
      </c>
      <c r="N40" s="42"/>
      <c r="O40" s="42"/>
      <c r="P40" s="42"/>
      <c r="Q40" s="42"/>
      <c r="R40" s="42"/>
    </row>
    <row r="41" spans="2:18" outlineLevel="1" x14ac:dyDescent="0.3">
      <c r="B41" s="44" t="str">
        <f>Balans!B10</f>
        <v>Voorraden</v>
      </c>
      <c r="C41" s="58"/>
      <c r="D41" s="42"/>
      <c r="E41" s="154">
        <f>'1. Realisatie RR en BS'!E41</f>
        <v>25</v>
      </c>
      <c r="F41" s="154">
        <f>'1. Realisatie RR en BS'!F41</f>
        <v>10</v>
      </c>
      <c r="G41" s="145">
        <f>-G38/365*G40</f>
        <v>5.3520657534246574</v>
      </c>
      <c r="H41" s="145">
        <f t="shared" ref="H41:K41" si="21">-H38/365*H40</f>
        <v>5.9140326575342463</v>
      </c>
      <c r="I41" s="145">
        <f t="shared" si="21"/>
        <v>6.4963374115068504</v>
      </c>
      <c r="J41" s="145">
        <f t="shared" si="21"/>
        <v>7.0995687425753422</v>
      </c>
      <c r="K41" s="145">
        <f t="shared" si="21"/>
        <v>7.2415601174268494</v>
      </c>
      <c r="L41" s="42"/>
      <c r="M41" s="42" t="s">
        <v>370</v>
      </c>
      <c r="N41" s="42"/>
      <c r="O41" s="42"/>
      <c r="P41" s="42"/>
      <c r="Q41" s="42"/>
      <c r="R41" s="42"/>
    </row>
    <row r="42" spans="2:18" outlineLevel="1" x14ac:dyDescent="0.3">
      <c r="B42" s="42"/>
      <c r="C42" s="58"/>
      <c r="D42" s="42"/>
      <c r="E42" s="144"/>
      <c r="F42" s="144"/>
      <c r="G42" s="144"/>
      <c r="H42" s="144"/>
      <c r="I42" s="144"/>
      <c r="J42" s="144"/>
      <c r="K42" s="144"/>
      <c r="L42" s="42"/>
      <c r="M42" s="42"/>
      <c r="N42" s="42"/>
      <c r="O42" s="42"/>
      <c r="P42" s="42"/>
      <c r="Q42" s="42"/>
      <c r="R42" s="42"/>
    </row>
    <row r="43" spans="2:18" outlineLevel="1" x14ac:dyDescent="0.3">
      <c r="B43" s="42" t="s">
        <v>311</v>
      </c>
      <c r="C43" s="116">
        <v>30</v>
      </c>
      <c r="D43" s="42"/>
      <c r="E43" s="58">
        <f>E44/(E37/365)</f>
        <v>43.800000000000004</v>
      </c>
      <c r="F43" s="58">
        <f>F44/(F37/365)</f>
        <v>48.826754385964911</v>
      </c>
      <c r="G43" s="58">
        <f>$C43</f>
        <v>30</v>
      </c>
      <c r="H43" s="58">
        <f t="shared" ref="H43:K43" si="22">$C43</f>
        <v>30</v>
      </c>
      <c r="I43" s="58">
        <f t="shared" si="22"/>
        <v>30</v>
      </c>
      <c r="J43" s="58">
        <f t="shared" si="22"/>
        <v>30</v>
      </c>
      <c r="K43" s="58">
        <f t="shared" si="22"/>
        <v>30</v>
      </c>
      <c r="L43" s="52"/>
      <c r="M43" s="52" t="s">
        <v>35</v>
      </c>
      <c r="N43" s="42"/>
      <c r="O43" s="42"/>
      <c r="P43" s="42"/>
      <c r="Q43" s="42"/>
      <c r="R43" s="42"/>
    </row>
    <row r="44" spans="2:18" outlineLevel="1" x14ac:dyDescent="0.3">
      <c r="B44" s="44" t="str">
        <f>Balans!B11</f>
        <v>Debiteuren</v>
      </c>
      <c r="C44" s="58"/>
      <c r="D44" s="42"/>
      <c r="E44" s="154">
        <f>'1. Realisatie RR en BS'!E42</f>
        <v>60</v>
      </c>
      <c r="F44" s="154">
        <f>'1. Realisatie RR en BS'!F42</f>
        <v>61</v>
      </c>
      <c r="G44" s="145">
        <f>G37/365*G43</f>
        <v>38.229041095890409</v>
      </c>
      <c r="H44" s="145">
        <f>H37/365*H43</f>
        <v>42.243090410958914</v>
      </c>
      <c r="I44" s="145">
        <f>I37/365*I43</f>
        <v>46.402410082191786</v>
      </c>
      <c r="J44" s="145">
        <f>J37/365*J43</f>
        <v>50.71120530410959</v>
      </c>
      <c r="K44" s="145">
        <f>K37/365*K43</f>
        <v>51.725429410191786</v>
      </c>
      <c r="L44" s="42"/>
      <c r="M44" s="42" t="s">
        <v>165</v>
      </c>
      <c r="N44" s="42"/>
      <c r="O44" s="42"/>
      <c r="P44" s="42"/>
      <c r="Q44" s="42"/>
      <c r="R44" s="42"/>
    </row>
    <row r="45" spans="2:18" outlineLevel="1" x14ac:dyDescent="0.3">
      <c r="B45" s="42"/>
      <c r="C45" s="58"/>
      <c r="D45" s="42"/>
      <c r="E45" s="144"/>
      <c r="F45" s="144"/>
      <c r="G45" s="144"/>
      <c r="H45" s="144"/>
      <c r="I45" s="144"/>
      <c r="J45" s="144"/>
      <c r="K45" s="144"/>
      <c r="L45" s="42"/>
      <c r="M45" s="42"/>
      <c r="N45" s="42"/>
      <c r="O45" s="42"/>
      <c r="P45" s="42"/>
      <c r="Q45" s="42"/>
      <c r="R45" s="42"/>
    </row>
    <row r="46" spans="2:18" outlineLevel="1" x14ac:dyDescent="0.3">
      <c r="B46" s="42" t="s">
        <v>38</v>
      </c>
      <c r="C46" s="119">
        <v>6.0000000000000001E-3</v>
      </c>
      <c r="D46" s="42"/>
      <c r="E46" s="63">
        <f>E47/E37</f>
        <v>0.01</v>
      </c>
      <c r="F46" s="63">
        <f>F47/F37</f>
        <v>1.3157894736842105E-2</v>
      </c>
      <c r="G46" s="63">
        <f>$C46</f>
        <v>6.0000000000000001E-3</v>
      </c>
      <c r="H46" s="63">
        <f t="shared" ref="H46:K46" si="23">$C46</f>
        <v>6.0000000000000001E-3</v>
      </c>
      <c r="I46" s="63">
        <f t="shared" si="23"/>
        <v>6.0000000000000001E-3</v>
      </c>
      <c r="J46" s="63">
        <f t="shared" si="23"/>
        <v>6.0000000000000001E-3</v>
      </c>
      <c r="K46" s="99">
        <f t="shared" si="23"/>
        <v>6.0000000000000001E-3</v>
      </c>
      <c r="L46" s="42"/>
      <c r="M46" s="52" t="s">
        <v>164</v>
      </c>
      <c r="N46" s="42"/>
      <c r="O46" s="42"/>
      <c r="P46" s="42"/>
      <c r="Q46" s="42"/>
      <c r="R46" s="42"/>
    </row>
    <row r="47" spans="2:18" outlineLevel="1" x14ac:dyDescent="0.3">
      <c r="B47" s="44" t="str">
        <f>Balans!B12</f>
        <v>Overige kortlopende activa</v>
      </c>
      <c r="C47" s="42"/>
      <c r="D47" s="42"/>
      <c r="E47" s="154">
        <f>'1. Realisatie RR en BS'!E43</f>
        <v>5</v>
      </c>
      <c r="F47" s="154">
        <f>'1. Realisatie RR en BS'!F43</f>
        <v>6</v>
      </c>
      <c r="G47" s="145">
        <f>G46*G37</f>
        <v>2.7907199999999999</v>
      </c>
      <c r="H47" s="145">
        <f>H46*H37</f>
        <v>3.0837456000000003</v>
      </c>
      <c r="I47" s="145">
        <f>I46*I37</f>
        <v>3.3873759360000006</v>
      </c>
      <c r="J47" s="145">
        <f>J46*J37</f>
        <v>3.7019179871999999</v>
      </c>
      <c r="K47" s="145">
        <f>K46*K37</f>
        <v>3.7759563469440001</v>
      </c>
      <c r="L47" s="42"/>
      <c r="M47" s="42" t="s">
        <v>166</v>
      </c>
      <c r="N47" s="42"/>
      <c r="O47" s="42"/>
      <c r="P47" s="42"/>
      <c r="Q47" s="42"/>
      <c r="R47" s="42"/>
    </row>
    <row r="48" spans="2:18" outlineLevel="1" x14ac:dyDescent="0.3">
      <c r="B48" s="42"/>
      <c r="C48" s="42"/>
      <c r="D48" s="42"/>
      <c r="E48" s="144"/>
      <c r="F48" s="144"/>
      <c r="G48" s="144"/>
      <c r="H48" s="144"/>
      <c r="I48" s="144"/>
      <c r="J48" s="144"/>
      <c r="K48" s="144"/>
      <c r="L48" s="42"/>
      <c r="M48" s="42"/>
      <c r="N48" s="42"/>
      <c r="O48" s="42"/>
      <c r="P48" s="42"/>
      <c r="Q48" s="42"/>
      <c r="R48" s="42"/>
    </row>
    <row r="49" spans="2:18" s="2" customFormat="1" outlineLevel="1" x14ac:dyDescent="0.3">
      <c r="B49" s="44" t="str">
        <f>Balans!B13</f>
        <v>Liquide Middelen</v>
      </c>
      <c r="C49" s="44"/>
      <c r="D49" s="44"/>
      <c r="E49" s="154">
        <f>'1. Realisatie RR en BS'!E44</f>
        <v>104</v>
      </c>
      <c r="F49" s="154">
        <f>'1. Realisatie RR en BS'!F44</f>
        <v>79</v>
      </c>
      <c r="G49" s="145">
        <f>G128</f>
        <v>135.34815871198646</v>
      </c>
      <c r="H49" s="145">
        <f>H128</f>
        <v>309.59294927637006</v>
      </c>
      <c r="I49" s="145">
        <f>I128</f>
        <v>159.11687357927406</v>
      </c>
      <c r="J49" s="145">
        <f>J128</f>
        <v>159.26998905401376</v>
      </c>
      <c r="K49" s="145">
        <f>K128</f>
        <v>167.48236799319409</v>
      </c>
      <c r="L49" s="44"/>
      <c r="M49" s="44" t="s">
        <v>268</v>
      </c>
      <c r="N49" s="44"/>
      <c r="O49" s="44"/>
      <c r="P49" s="44"/>
      <c r="Q49" s="44"/>
      <c r="R49" s="44"/>
    </row>
    <row r="50" spans="2:18" x14ac:dyDescent="0.3">
      <c r="B50" s="42"/>
      <c r="C50" s="42"/>
      <c r="D50" s="42"/>
      <c r="E50" s="146"/>
      <c r="F50" s="146"/>
      <c r="G50" s="146"/>
      <c r="H50" s="146"/>
      <c r="I50" s="146"/>
      <c r="J50" s="146"/>
      <c r="K50" s="146"/>
      <c r="L50" s="42"/>
      <c r="M50" s="42"/>
      <c r="N50" s="42"/>
      <c r="O50" s="42"/>
      <c r="P50" s="42"/>
      <c r="Q50" s="42"/>
      <c r="R50" s="42"/>
    </row>
    <row r="51" spans="2:18" s="2" customFormat="1" x14ac:dyDescent="0.3">
      <c r="B51" s="126" t="s">
        <v>71</v>
      </c>
      <c r="C51" s="127"/>
      <c r="D51" s="126"/>
      <c r="E51" s="127" t="str">
        <f>E$5</f>
        <v>R 2024</v>
      </c>
      <c r="F51" s="127" t="str">
        <f t="shared" ref="F51:K51" si="24">F$5</f>
        <v>R 2025</v>
      </c>
      <c r="G51" s="127" t="str">
        <f t="shared" si="24"/>
        <v>P 2026</v>
      </c>
      <c r="H51" s="127" t="str">
        <f t="shared" si="24"/>
        <v>P 2027</v>
      </c>
      <c r="I51" s="127" t="str">
        <f t="shared" si="24"/>
        <v>P 2028</v>
      </c>
      <c r="J51" s="127" t="str">
        <f t="shared" si="24"/>
        <v>P 2029</v>
      </c>
      <c r="K51" s="127" t="str">
        <f t="shared" si="24"/>
        <v>P 2030</v>
      </c>
      <c r="L51" s="57"/>
      <c r="M51" s="57"/>
      <c r="N51" s="57"/>
      <c r="O51" s="57"/>
      <c r="P51" s="44"/>
      <c r="Q51" s="44"/>
      <c r="R51" s="44"/>
    </row>
    <row r="52" spans="2:18" s="2" customFormat="1" outlineLevel="1" x14ac:dyDescent="0.3">
      <c r="B52" s="44"/>
      <c r="C52" s="44"/>
      <c r="D52" s="44"/>
      <c r="E52" s="155"/>
      <c r="F52" s="155"/>
      <c r="G52" s="155"/>
      <c r="H52" s="155"/>
      <c r="I52" s="155"/>
      <c r="J52" s="155"/>
      <c r="K52" s="155"/>
      <c r="L52" s="53"/>
      <c r="M52" s="53"/>
      <c r="N52" s="53"/>
      <c r="O52" s="53"/>
      <c r="P52" s="44"/>
      <c r="Q52" s="44"/>
      <c r="R52" s="44"/>
    </row>
    <row r="53" spans="2:18" outlineLevel="1" x14ac:dyDescent="0.3">
      <c r="B53" s="42" t="s">
        <v>26</v>
      </c>
      <c r="C53" s="42"/>
      <c r="D53" s="42"/>
      <c r="E53" s="144">
        <f>E55-E54</f>
        <v>395</v>
      </c>
      <c r="F53" s="144">
        <f t="shared" ref="F53:K53" si="25">E55</f>
        <v>430</v>
      </c>
      <c r="G53" s="144">
        <f t="shared" si="25"/>
        <v>431</v>
      </c>
      <c r="H53" s="144">
        <f t="shared" si="25"/>
        <v>502.45645427500006</v>
      </c>
      <c r="I53" s="144">
        <f t="shared" si="25"/>
        <v>573.49251427500008</v>
      </c>
      <c r="J53" s="144">
        <f t="shared" si="25"/>
        <v>600.80015395500004</v>
      </c>
      <c r="K53" s="144">
        <f t="shared" si="25"/>
        <v>645.72921207820002</v>
      </c>
      <c r="L53" s="52"/>
      <c r="M53" s="52"/>
      <c r="N53" s="52"/>
      <c r="O53" s="52"/>
      <c r="P53" s="42"/>
      <c r="Q53" s="42"/>
      <c r="R53" s="42"/>
    </row>
    <row r="54" spans="2:18" outlineLevel="1" x14ac:dyDescent="0.3">
      <c r="B54" s="42" t="str">
        <f>'2. Prognose RR'!B69</f>
        <v>Resultaat na dividend</v>
      </c>
      <c r="C54" s="42"/>
      <c r="D54" s="42"/>
      <c r="E54" s="152">
        <f>'2. Prognose RR'!E69</f>
        <v>35</v>
      </c>
      <c r="F54" s="152">
        <f>'2. Prognose RR'!F69</f>
        <v>1</v>
      </c>
      <c r="G54" s="152">
        <f>'2. Prognose RR'!G69</f>
        <v>71.456454275000027</v>
      </c>
      <c r="H54" s="152">
        <f>'2. Prognose RR'!H69</f>
        <v>71.036060000000035</v>
      </c>
      <c r="I54" s="152">
        <f>'2. Prognose RR'!I69</f>
        <v>27.307639680000023</v>
      </c>
      <c r="J54" s="152">
        <f>'2. Prognose RR'!J69</f>
        <v>44.929058123199965</v>
      </c>
      <c r="K54" s="152">
        <f>'2. Prognose RR'!K69</f>
        <v>48.159639285663957</v>
      </c>
      <c r="L54" s="52"/>
      <c r="M54" s="64" t="s">
        <v>262</v>
      </c>
      <c r="N54" s="52"/>
      <c r="O54" s="52"/>
      <c r="P54" s="42"/>
      <c r="Q54" s="42"/>
      <c r="R54" s="42"/>
    </row>
    <row r="55" spans="2:18" outlineLevel="1" x14ac:dyDescent="0.3">
      <c r="B55" s="44" t="s">
        <v>27</v>
      </c>
      <c r="C55" s="44"/>
      <c r="D55" s="44"/>
      <c r="E55" s="147">
        <f>'1. Realisatie RR en BS'!E49</f>
        <v>430</v>
      </c>
      <c r="F55" s="147">
        <f>'1. Realisatie RR en BS'!F49</f>
        <v>431</v>
      </c>
      <c r="G55" s="140">
        <f>SUM(G53:G54)</f>
        <v>502.45645427500006</v>
      </c>
      <c r="H55" s="140">
        <f>SUM(H53:H54)</f>
        <v>573.49251427500008</v>
      </c>
      <c r="I55" s="140">
        <f>SUM(I53:I54)</f>
        <v>600.80015395500004</v>
      </c>
      <c r="J55" s="140">
        <f>SUM(J53:J54)</f>
        <v>645.72921207820002</v>
      </c>
      <c r="K55" s="140">
        <f>SUM(K53:K54)</f>
        <v>693.88885136386398</v>
      </c>
      <c r="L55" s="42"/>
      <c r="M55" s="52" t="s">
        <v>45</v>
      </c>
      <c r="N55" s="42"/>
      <c r="O55" s="42"/>
      <c r="P55" s="42"/>
      <c r="Q55" s="42"/>
      <c r="R55" s="42"/>
    </row>
    <row r="56" spans="2:18" x14ac:dyDescent="0.3">
      <c r="B56" s="42"/>
      <c r="C56" s="42"/>
      <c r="D56" s="42"/>
      <c r="E56" s="146"/>
      <c r="F56" s="146"/>
      <c r="G56" s="146"/>
      <c r="H56" s="146"/>
      <c r="I56" s="146"/>
      <c r="J56" s="146"/>
      <c r="K56" s="146"/>
      <c r="L56" s="52"/>
      <c r="M56" s="52"/>
      <c r="N56" s="52"/>
      <c r="O56" s="52"/>
      <c r="P56" s="42"/>
      <c r="Q56" s="42"/>
      <c r="R56" s="42"/>
    </row>
    <row r="57" spans="2:18" s="2" customFormat="1" x14ac:dyDescent="0.3">
      <c r="B57" s="126" t="s">
        <v>149</v>
      </c>
      <c r="C57" s="127"/>
      <c r="D57" s="126"/>
      <c r="E57" s="127" t="str">
        <f>E$5</f>
        <v>R 2024</v>
      </c>
      <c r="F57" s="127" t="str">
        <f t="shared" ref="F57:K57" si="26">F$5</f>
        <v>R 2025</v>
      </c>
      <c r="G57" s="127" t="str">
        <f t="shared" si="26"/>
        <v>P 2026</v>
      </c>
      <c r="H57" s="127" t="str">
        <f t="shared" si="26"/>
        <v>P 2027</v>
      </c>
      <c r="I57" s="127" t="str">
        <f t="shared" si="26"/>
        <v>P 2028</v>
      </c>
      <c r="J57" s="127" t="str">
        <f t="shared" si="26"/>
        <v>P 2029</v>
      </c>
      <c r="K57" s="127" t="str">
        <f t="shared" si="26"/>
        <v>P 2030</v>
      </c>
      <c r="L57" s="57"/>
      <c r="M57" s="57"/>
      <c r="N57" s="57"/>
      <c r="O57" s="57"/>
      <c r="P57" s="44"/>
      <c r="Q57" s="44"/>
      <c r="R57" s="44"/>
    </row>
    <row r="58" spans="2:18" s="2" customFormat="1" outlineLevel="1" x14ac:dyDescent="0.3">
      <c r="B58" s="44"/>
      <c r="C58" s="44"/>
      <c r="D58" s="44"/>
      <c r="E58" s="155"/>
      <c r="F58" s="155"/>
      <c r="G58" s="155"/>
      <c r="H58" s="155"/>
      <c r="I58" s="155"/>
      <c r="J58" s="155"/>
      <c r="K58" s="155"/>
      <c r="L58" s="53"/>
      <c r="M58" s="53"/>
      <c r="N58" s="53"/>
      <c r="O58" s="53"/>
      <c r="P58" s="44"/>
      <c r="Q58" s="44"/>
      <c r="R58" s="44"/>
    </row>
    <row r="59" spans="2:18" outlineLevel="1" x14ac:dyDescent="0.3">
      <c r="B59" s="42" t="s">
        <v>26</v>
      </c>
      <c r="C59" s="42"/>
      <c r="D59" s="42"/>
      <c r="E59" s="144">
        <f>-E60-E61-E62+E63</f>
        <v>55</v>
      </c>
      <c r="F59" s="144">
        <f>-F60-F61-F62+F63</f>
        <v>60</v>
      </c>
      <c r="G59" s="144">
        <f t="shared" ref="G59" si="27">F63</f>
        <v>10</v>
      </c>
      <c r="H59" s="144">
        <f t="shared" ref="H59" si="28">G63</f>
        <v>30</v>
      </c>
      <c r="I59" s="144">
        <f t="shared" ref="I59" si="29">H63</f>
        <v>10</v>
      </c>
      <c r="J59" s="144">
        <f t="shared" ref="J59" si="30">I63</f>
        <v>10</v>
      </c>
      <c r="K59" s="144">
        <f t="shared" ref="K59" si="31">J63</f>
        <v>10</v>
      </c>
      <c r="L59" s="52"/>
      <c r="M59" s="52"/>
      <c r="N59" s="52"/>
      <c r="O59" s="52"/>
      <c r="P59" s="42"/>
      <c r="Q59" s="42"/>
      <c r="R59" s="42"/>
    </row>
    <row r="60" spans="2:18" outlineLevel="1" x14ac:dyDescent="0.3">
      <c r="B60" s="42" t="s">
        <v>170</v>
      </c>
      <c r="C60" s="42"/>
      <c r="D60" s="42"/>
      <c r="E60" s="137">
        <v>20</v>
      </c>
      <c r="F60" s="137">
        <v>10</v>
      </c>
      <c r="G60" s="137">
        <v>30</v>
      </c>
      <c r="H60" s="137">
        <v>0</v>
      </c>
      <c r="I60" s="137">
        <v>0</v>
      </c>
      <c r="J60" s="137">
        <v>0</v>
      </c>
      <c r="K60" s="137">
        <v>0</v>
      </c>
      <c r="L60" s="52"/>
      <c r="M60" s="52" t="s">
        <v>179</v>
      </c>
      <c r="N60" s="52"/>
      <c r="O60" s="52"/>
      <c r="P60" s="42"/>
      <c r="Q60" s="42"/>
      <c r="R60" s="42"/>
    </row>
    <row r="61" spans="2:18" outlineLevel="1" x14ac:dyDescent="0.3">
      <c r="B61" s="42" t="s">
        <v>178</v>
      </c>
      <c r="C61" s="42"/>
      <c r="D61" s="42"/>
      <c r="E61" s="137">
        <v>-5</v>
      </c>
      <c r="F61" s="137">
        <v>-60</v>
      </c>
      <c r="G61" s="137">
        <v>-10</v>
      </c>
      <c r="H61" s="137">
        <v>0</v>
      </c>
      <c r="I61" s="137">
        <v>0</v>
      </c>
      <c r="J61" s="137">
        <v>0</v>
      </c>
      <c r="K61" s="137">
        <v>0</v>
      </c>
      <c r="L61" s="52"/>
      <c r="M61" s="52" t="s">
        <v>20</v>
      </c>
      <c r="N61" s="52"/>
      <c r="O61" s="52"/>
      <c r="P61" s="42"/>
      <c r="Q61" s="42"/>
      <c r="R61" s="42"/>
    </row>
    <row r="62" spans="2:18" outlineLevel="1" x14ac:dyDescent="0.3">
      <c r="B62" s="42" t="s">
        <v>171</v>
      </c>
      <c r="C62" s="42"/>
      <c r="D62" s="42"/>
      <c r="E62" s="137">
        <v>-10</v>
      </c>
      <c r="F62" s="137">
        <v>0</v>
      </c>
      <c r="G62" s="137">
        <v>0</v>
      </c>
      <c r="H62" s="137">
        <v>-20</v>
      </c>
      <c r="I62" s="137">
        <v>0</v>
      </c>
      <c r="J62" s="137">
        <v>0</v>
      </c>
      <c r="K62" s="137">
        <v>0</v>
      </c>
      <c r="L62" s="52"/>
      <c r="M62" s="52" t="s">
        <v>179</v>
      </c>
      <c r="N62" s="52"/>
      <c r="O62" s="52"/>
      <c r="P62" s="42"/>
      <c r="Q62" s="42"/>
      <c r="R62" s="42"/>
    </row>
    <row r="63" spans="2:18" outlineLevel="1" x14ac:dyDescent="0.3">
      <c r="B63" s="44" t="s">
        <v>27</v>
      </c>
      <c r="C63" s="44"/>
      <c r="D63" s="44"/>
      <c r="E63" s="147">
        <f>'1. Realisatie RR en BS'!E51</f>
        <v>60</v>
      </c>
      <c r="F63" s="147">
        <f>'1. Realisatie RR en BS'!F51</f>
        <v>10</v>
      </c>
      <c r="G63" s="140">
        <f t="shared" ref="G63:K63" si="32">SUM(G59:G62)</f>
        <v>30</v>
      </c>
      <c r="H63" s="140">
        <f t="shared" si="32"/>
        <v>10</v>
      </c>
      <c r="I63" s="140">
        <f t="shared" si="32"/>
        <v>10</v>
      </c>
      <c r="J63" s="140">
        <f t="shared" si="32"/>
        <v>10</v>
      </c>
      <c r="K63" s="140">
        <f t="shared" si="32"/>
        <v>10</v>
      </c>
      <c r="L63" s="42"/>
      <c r="M63" s="52" t="s">
        <v>45</v>
      </c>
      <c r="N63" s="42"/>
      <c r="O63" s="42"/>
      <c r="P63" s="42"/>
      <c r="Q63" s="42"/>
      <c r="R63" s="42"/>
    </row>
    <row r="64" spans="2:18" s="3" customFormat="1" outlineLevel="1" x14ac:dyDescent="0.3">
      <c r="B64" s="50" t="s">
        <v>371</v>
      </c>
      <c r="C64" s="50"/>
      <c r="D64" s="50"/>
      <c r="E64" s="178"/>
      <c r="F64" s="178">
        <f>E63-F59</f>
        <v>0</v>
      </c>
      <c r="G64" s="178"/>
      <c r="H64" s="178"/>
      <c r="I64" s="178"/>
      <c r="J64" s="178"/>
      <c r="K64" s="178"/>
      <c r="L64" s="50"/>
      <c r="M64" s="100" t="s">
        <v>372</v>
      </c>
      <c r="N64" s="50"/>
      <c r="O64" s="50"/>
      <c r="P64" s="50"/>
      <c r="Q64" s="50"/>
      <c r="R64" s="50"/>
    </row>
    <row r="65" spans="2:18" x14ac:dyDescent="0.3">
      <c r="B65" s="42"/>
      <c r="C65" s="42"/>
      <c r="D65" s="42"/>
      <c r="E65" s="146"/>
      <c r="F65" s="146"/>
      <c r="G65" s="146"/>
      <c r="H65" s="146"/>
      <c r="I65" s="146"/>
      <c r="J65" s="146"/>
      <c r="K65" s="146"/>
      <c r="L65" s="52"/>
      <c r="M65" s="52"/>
      <c r="N65" s="52"/>
      <c r="O65" s="52"/>
      <c r="P65" s="42"/>
      <c r="Q65" s="42"/>
      <c r="R65" s="42"/>
    </row>
    <row r="66" spans="2:18" s="2" customFormat="1" x14ac:dyDescent="0.3">
      <c r="B66" s="126" t="s">
        <v>94</v>
      </c>
      <c r="C66" s="127"/>
      <c r="D66" s="126"/>
      <c r="E66" s="127" t="str">
        <f>E$5</f>
        <v>R 2024</v>
      </c>
      <c r="F66" s="127" t="str">
        <f t="shared" ref="F66:K66" si="33">F$5</f>
        <v>R 2025</v>
      </c>
      <c r="G66" s="127" t="str">
        <f t="shared" si="33"/>
        <v>P 2026</v>
      </c>
      <c r="H66" s="127" t="str">
        <f t="shared" si="33"/>
        <v>P 2027</v>
      </c>
      <c r="I66" s="127" t="str">
        <f t="shared" si="33"/>
        <v>P 2028</v>
      </c>
      <c r="J66" s="127" t="str">
        <f t="shared" si="33"/>
        <v>P 2029</v>
      </c>
      <c r="K66" s="127" t="str">
        <f t="shared" si="33"/>
        <v>P 2030</v>
      </c>
      <c r="L66" s="57"/>
      <c r="M66" s="57"/>
      <c r="N66" s="57"/>
      <c r="O66" s="57"/>
      <c r="P66" s="44"/>
      <c r="Q66" s="44"/>
      <c r="R66" s="44"/>
    </row>
    <row r="67" spans="2:18" s="2" customFormat="1" outlineLevel="1" x14ac:dyDescent="0.3">
      <c r="B67" s="44"/>
      <c r="C67" s="44"/>
      <c r="D67" s="44"/>
      <c r="E67" s="155"/>
      <c r="F67" s="155"/>
      <c r="G67" s="155"/>
      <c r="H67" s="155"/>
      <c r="I67" s="155"/>
      <c r="J67" s="155"/>
      <c r="K67" s="155"/>
      <c r="L67" s="53"/>
      <c r="M67" s="53"/>
      <c r="N67" s="53"/>
      <c r="O67" s="53"/>
      <c r="P67" s="44"/>
      <c r="Q67" s="44"/>
      <c r="R67" s="44"/>
    </row>
    <row r="68" spans="2:18" outlineLevel="1" x14ac:dyDescent="0.3">
      <c r="B68" s="104" t="s">
        <v>284</v>
      </c>
      <c r="C68" s="50"/>
      <c r="D68" s="50"/>
      <c r="E68" s="138"/>
      <c r="F68" s="138"/>
      <c r="G68" s="138"/>
      <c r="H68" s="138"/>
      <c r="I68" s="138"/>
      <c r="J68" s="138"/>
      <c r="K68" s="138"/>
      <c r="L68" s="52"/>
      <c r="M68" s="52" t="s">
        <v>285</v>
      </c>
      <c r="N68" s="52"/>
      <c r="O68" s="52"/>
      <c r="P68" s="42"/>
      <c r="Q68" s="42"/>
      <c r="R68" s="42"/>
    </row>
    <row r="69" spans="2:18" outlineLevel="1" x14ac:dyDescent="0.3">
      <c r="B69" s="102" t="s">
        <v>53</v>
      </c>
      <c r="C69" s="50"/>
      <c r="D69" s="50"/>
      <c r="E69" s="141">
        <f>E73-E72-E71-E70</f>
        <v>80</v>
      </c>
      <c r="F69" s="141">
        <f>F73-F72-F71-F70</f>
        <v>70</v>
      </c>
      <c r="G69" s="141">
        <f t="shared" ref="G69" si="34">F73</f>
        <v>101</v>
      </c>
      <c r="H69" s="141">
        <f t="shared" ref="H69" si="35">G73</f>
        <v>71</v>
      </c>
      <c r="I69" s="141">
        <f t="shared" ref="I69" si="36">H73</f>
        <v>51</v>
      </c>
      <c r="J69" s="141">
        <f t="shared" ref="J69" si="37">I73</f>
        <v>41</v>
      </c>
      <c r="K69" s="141">
        <f t="shared" ref="K69" si="38">J73</f>
        <v>31</v>
      </c>
      <c r="L69" s="52"/>
      <c r="M69" s="52"/>
      <c r="N69" s="52"/>
      <c r="O69" s="52"/>
      <c r="P69" s="42"/>
      <c r="Q69" s="42"/>
      <c r="R69" s="42"/>
    </row>
    <row r="70" spans="2:18" outlineLevel="1" x14ac:dyDescent="0.3">
      <c r="B70" s="102" t="s">
        <v>188</v>
      </c>
      <c r="C70" s="50"/>
      <c r="D70" s="50"/>
      <c r="E70" s="139">
        <v>10</v>
      </c>
      <c r="F70" s="139">
        <v>41</v>
      </c>
      <c r="G70" s="184"/>
      <c r="H70" s="184"/>
      <c r="I70" s="184"/>
      <c r="J70" s="184"/>
      <c r="K70" s="184"/>
      <c r="L70" s="52"/>
      <c r="M70" s="52" t="s">
        <v>288</v>
      </c>
      <c r="N70" s="52"/>
      <c r="O70" s="52"/>
      <c r="P70" s="42"/>
      <c r="Q70" s="42"/>
      <c r="R70" s="42"/>
    </row>
    <row r="71" spans="2:18" outlineLevel="1" x14ac:dyDescent="0.3">
      <c r="B71" s="102" t="s">
        <v>186</v>
      </c>
      <c r="C71" s="42"/>
      <c r="D71" s="42"/>
      <c r="E71" s="179">
        <f>-'1. Realisatie RR en BS'!E55</f>
        <v>-10</v>
      </c>
      <c r="F71" s="179">
        <f>-'1. Realisatie RR en BS'!F55</f>
        <v>-10</v>
      </c>
      <c r="G71" s="139">
        <v>-10</v>
      </c>
      <c r="H71" s="139">
        <v>-20</v>
      </c>
      <c r="I71" s="139">
        <v>-10</v>
      </c>
      <c r="J71" s="139">
        <v>-10</v>
      </c>
      <c r="K71" s="139">
        <v>-10</v>
      </c>
      <c r="L71" s="52"/>
      <c r="M71" s="52" t="s">
        <v>187</v>
      </c>
      <c r="N71" s="52"/>
      <c r="O71" s="52"/>
      <c r="P71" s="42"/>
      <c r="Q71" s="42"/>
      <c r="R71" s="42"/>
    </row>
    <row r="72" spans="2:18" outlineLevel="1" x14ac:dyDescent="0.3">
      <c r="B72" s="102" t="s">
        <v>181</v>
      </c>
      <c r="C72" s="42"/>
      <c r="D72" s="42"/>
      <c r="E72" s="139">
        <v>-10</v>
      </c>
      <c r="F72" s="139">
        <v>0</v>
      </c>
      <c r="G72" s="139">
        <v>-20</v>
      </c>
      <c r="H72" s="139">
        <v>0</v>
      </c>
      <c r="I72" s="139">
        <v>0</v>
      </c>
      <c r="J72" s="139">
        <v>0</v>
      </c>
      <c r="K72" s="139">
        <v>0</v>
      </c>
      <c r="L72" s="52"/>
      <c r="M72" s="52" t="s">
        <v>282</v>
      </c>
      <c r="N72" s="52"/>
      <c r="O72" s="52"/>
      <c r="P72" s="42"/>
      <c r="Q72" s="42"/>
      <c r="R72" s="42"/>
    </row>
    <row r="73" spans="2:18" s="2" customFormat="1" outlineLevel="1" x14ac:dyDescent="0.3">
      <c r="B73" s="103" t="s">
        <v>22</v>
      </c>
      <c r="C73" s="44"/>
      <c r="D73" s="44"/>
      <c r="E73" s="180">
        <f>'1. Realisatie RR en BS'!E53</f>
        <v>70</v>
      </c>
      <c r="F73" s="180">
        <f>'1. Realisatie RR en BS'!F53</f>
        <v>101</v>
      </c>
      <c r="G73" s="181">
        <f t="shared" ref="G73:K73" si="39">SUM(G69:G72)</f>
        <v>71</v>
      </c>
      <c r="H73" s="181">
        <f t="shared" si="39"/>
        <v>51</v>
      </c>
      <c r="I73" s="181">
        <f t="shared" si="39"/>
        <v>41</v>
      </c>
      <c r="J73" s="181">
        <f t="shared" si="39"/>
        <v>31</v>
      </c>
      <c r="K73" s="181">
        <f t="shared" si="39"/>
        <v>21</v>
      </c>
      <c r="L73" s="53"/>
      <c r="M73" s="42"/>
      <c r="N73" s="53"/>
      <c r="O73" s="53"/>
      <c r="P73" s="44"/>
      <c r="Q73" s="44"/>
      <c r="R73" s="44"/>
    </row>
    <row r="74" spans="2:18" s="3" customFormat="1" outlineLevel="1" x14ac:dyDescent="0.3">
      <c r="B74" s="50" t="s">
        <v>371</v>
      </c>
      <c r="C74" s="50"/>
      <c r="D74" s="50"/>
      <c r="E74" s="178"/>
      <c r="F74" s="178">
        <f>E73-F69</f>
        <v>0</v>
      </c>
      <c r="G74" s="178"/>
      <c r="H74" s="178"/>
      <c r="I74" s="178"/>
      <c r="J74" s="178"/>
      <c r="K74" s="178"/>
      <c r="L74" s="50"/>
      <c r="M74" s="100" t="s">
        <v>375</v>
      </c>
      <c r="N74" s="50"/>
      <c r="O74" s="50"/>
      <c r="P74" s="50"/>
      <c r="Q74" s="50"/>
      <c r="R74" s="50"/>
    </row>
    <row r="75" spans="2:18" outlineLevel="1" x14ac:dyDescent="0.3">
      <c r="B75" s="42"/>
      <c r="C75" s="42"/>
      <c r="D75" s="42"/>
      <c r="E75" s="141"/>
      <c r="F75" s="141"/>
      <c r="G75" s="141"/>
      <c r="H75" s="141"/>
      <c r="I75" s="141"/>
      <c r="J75" s="141"/>
      <c r="K75" s="141"/>
      <c r="L75" s="52"/>
      <c r="M75" s="52"/>
      <c r="N75" s="52"/>
      <c r="O75" s="52"/>
      <c r="P75" s="42"/>
      <c r="Q75" s="42"/>
      <c r="R75" s="42"/>
    </row>
    <row r="76" spans="2:18" outlineLevel="1" x14ac:dyDescent="0.3">
      <c r="B76" s="102" t="s">
        <v>296</v>
      </c>
      <c r="C76" s="42"/>
      <c r="D76" s="42"/>
      <c r="E76" s="141">
        <f t="shared" ref="E76:K76" si="40">E73-E71</f>
        <v>80</v>
      </c>
      <c r="F76" s="141">
        <f t="shared" si="40"/>
        <v>111</v>
      </c>
      <c r="G76" s="141">
        <f t="shared" si="40"/>
        <v>81</v>
      </c>
      <c r="H76" s="141">
        <f t="shared" si="40"/>
        <v>71</v>
      </c>
      <c r="I76" s="141">
        <f t="shared" si="40"/>
        <v>51</v>
      </c>
      <c r="J76" s="141">
        <f t="shared" si="40"/>
        <v>41</v>
      </c>
      <c r="K76" s="141">
        <f t="shared" si="40"/>
        <v>31</v>
      </c>
      <c r="L76" s="52"/>
      <c r="M76" s="52" t="s">
        <v>286</v>
      </c>
      <c r="N76" s="52"/>
      <c r="O76" s="52"/>
      <c r="P76" s="42"/>
      <c r="Q76" s="42"/>
      <c r="R76" s="42"/>
    </row>
    <row r="77" spans="2:18" outlineLevel="1" x14ac:dyDescent="0.3">
      <c r="B77" s="102" t="s">
        <v>295</v>
      </c>
      <c r="C77" s="42"/>
      <c r="D77" s="42"/>
      <c r="E77" s="184"/>
      <c r="F77" s="141">
        <f t="shared" ref="F77:K77" si="41">E76-F76+F70</f>
        <v>10</v>
      </c>
      <c r="G77" s="141">
        <f t="shared" si="41"/>
        <v>30</v>
      </c>
      <c r="H77" s="141">
        <f t="shared" si="41"/>
        <v>10</v>
      </c>
      <c r="I77" s="141">
        <f t="shared" si="41"/>
        <v>20</v>
      </c>
      <c r="J77" s="141">
        <f t="shared" si="41"/>
        <v>10</v>
      </c>
      <c r="K77" s="141">
        <f t="shared" si="41"/>
        <v>10</v>
      </c>
      <c r="L77" s="52"/>
      <c r="M77" s="52" t="s">
        <v>287</v>
      </c>
      <c r="N77" s="52"/>
      <c r="O77" s="52"/>
      <c r="P77" s="42"/>
      <c r="Q77" s="42"/>
      <c r="R77" s="42"/>
    </row>
    <row r="78" spans="2:18" outlineLevel="1" x14ac:dyDescent="0.3">
      <c r="B78" s="102" t="s">
        <v>44</v>
      </c>
      <c r="C78" s="42"/>
      <c r="D78" s="42"/>
      <c r="E78" s="136"/>
      <c r="F78" s="71">
        <f>-F79/((E76+F76)/2)</f>
        <v>0.26178010471204188</v>
      </c>
      <c r="G78" s="118">
        <v>0.05</v>
      </c>
      <c r="H78" s="118">
        <v>0.05</v>
      </c>
      <c r="I78" s="118">
        <v>0.05</v>
      </c>
      <c r="J78" s="118">
        <v>0.05</v>
      </c>
      <c r="K78" s="118">
        <v>0.05</v>
      </c>
      <c r="L78" s="52"/>
      <c r="M78" s="42" t="s">
        <v>52</v>
      </c>
      <c r="N78" s="52"/>
      <c r="O78" s="52"/>
      <c r="P78" s="42"/>
      <c r="Q78" s="42"/>
      <c r="R78" s="42"/>
    </row>
    <row r="79" spans="2:18" outlineLevel="1" x14ac:dyDescent="0.3">
      <c r="B79" s="103" t="s">
        <v>291</v>
      </c>
      <c r="C79" s="44"/>
      <c r="D79" s="44"/>
      <c r="E79" s="154">
        <f>'1. Realisatie RR en BS'!E26</f>
        <v>-20</v>
      </c>
      <c r="F79" s="154">
        <f>'1. Realisatie RR en BS'!F26</f>
        <v>-25</v>
      </c>
      <c r="G79" s="171">
        <f>G78*-(F76+G76)/2</f>
        <v>-4.8000000000000007</v>
      </c>
      <c r="H79" s="171">
        <f>H78*-(G76+H76)/2</f>
        <v>-3.8000000000000003</v>
      </c>
      <c r="I79" s="171">
        <f>I78*-(H76+I76)/2</f>
        <v>-3.0500000000000003</v>
      </c>
      <c r="J79" s="171">
        <f>J78*-(I76+J76)/2</f>
        <v>-2.3000000000000003</v>
      </c>
      <c r="K79" s="171">
        <f>K78*-(J76+K76)/2</f>
        <v>-1.8</v>
      </c>
      <c r="L79" s="58"/>
      <c r="M79" s="42"/>
      <c r="N79" s="42"/>
      <c r="O79" s="42"/>
      <c r="P79" s="42"/>
      <c r="Q79" s="42"/>
      <c r="R79" s="42"/>
    </row>
    <row r="80" spans="2:18" outlineLevel="1" x14ac:dyDescent="0.3">
      <c r="B80" s="42"/>
      <c r="C80" s="42"/>
      <c r="D80" s="42"/>
      <c r="E80" s="144"/>
      <c r="F80" s="144"/>
      <c r="G80" s="146"/>
      <c r="H80" s="146"/>
      <c r="I80" s="146"/>
      <c r="J80" s="146"/>
      <c r="K80" s="146"/>
      <c r="L80" s="52"/>
      <c r="M80" s="52"/>
      <c r="N80" s="52"/>
      <c r="O80" s="52"/>
      <c r="P80" s="42"/>
      <c r="Q80" s="42"/>
      <c r="R80" s="42"/>
    </row>
    <row r="81" spans="2:18" outlineLevel="1" x14ac:dyDescent="0.3">
      <c r="B81" s="104" t="s">
        <v>292</v>
      </c>
      <c r="C81" s="50"/>
      <c r="D81" s="50"/>
      <c r="E81" s="138"/>
      <c r="F81" s="138"/>
      <c r="G81" s="138"/>
      <c r="H81" s="138"/>
      <c r="I81" s="138"/>
      <c r="J81" s="138"/>
      <c r="K81" s="138"/>
      <c r="L81" s="52"/>
      <c r="M81" s="52"/>
      <c r="N81" s="52"/>
      <c r="O81" s="52"/>
      <c r="P81" s="42"/>
      <c r="Q81" s="42"/>
      <c r="R81" s="42"/>
    </row>
    <row r="82" spans="2:18" outlineLevel="1" x14ac:dyDescent="0.3">
      <c r="B82" s="102" t="s">
        <v>53</v>
      </c>
      <c r="C82" s="50"/>
      <c r="D82" s="50"/>
      <c r="E82" s="184"/>
      <c r="F82" s="184"/>
      <c r="G82" s="141">
        <f t="shared" ref="G82:H82" si="42">F86</f>
        <v>0</v>
      </c>
      <c r="H82" s="141">
        <f t="shared" si="42"/>
        <v>0</v>
      </c>
      <c r="I82" s="141">
        <f t="shared" ref="I82" si="43">H86</f>
        <v>80</v>
      </c>
      <c r="J82" s="141">
        <f t="shared" ref="J82" si="44">I86</f>
        <v>60</v>
      </c>
      <c r="K82" s="141">
        <f t="shared" ref="K82" si="45">J86</f>
        <v>40</v>
      </c>
      <c r="L82" s="52"/>
      <c r="M82" s="52"/>
      <c r="N82" s="52"/>
      <c r="O82" s="52"/>
      <c r="P82" s="42"/>
      <c r="Q82" s="42"/>
      <c r="R82" s="42"/>
    </row>
    <row r="83" spans="2:18" outlineLevel="1" x14ac:dyDescent="0.3">
      <c r="B83" s="102" t="s">
        <v>188</v>
      </c>
      <c r="C83" s="50"/>
      <c r="D83" s="50"/>
      <c r="E83" s="184"/>
      <c r="F83" s="184"/>
      <c r="G83" s="139">
        <v>10</v>
      </c>
      <c r="H83" s="139">
        <v>100</v>
      </c>
      <c r="I83" s="139">
        <v>0</v>
      </c>
      <c r="J83" s="139">
        <v>20</v>
      </c>
      <c r="K83" s="139">
        <v>0</v>
      </c>
      <c r="L83" s="52"/>
      <c r="M83" s="52" t="s">
        <v>293</v>
      </c>
      <c r="N83" s="52"/>
      <c r="O83" s="52"/>
      <c r="P83" s="42"/>
      <c r="Q83" s="42"/>
      <c r="R83" s="42"/>
    </row>
    <row r="84" spans="2:18" outlineLevel="1" x14ac:dyDescent="0.3">
      <c r="B84" s="102" t="s">
        <v>186</v>
      </c>
      <c r="C84" s="42"/>
      <c r="D84" s="42"/>
      <c r="E84" s="187"/>
      <c r="F84" s="187"/>
      <c r="G84" s="139">
        <v>-10</v>
      </c>
      <c r="H84" s="139">
        <v>-20</v>
      </c>
      <c r="I84" s="139">
        <v>-20</v>
      </c>
      <c r="J84" s="139">
        <v>-30</v>
      </c>
      <c r="K84" s="139">
        <v>-20</v>
      </c>
      <c r="L84" s="52"/>
      <c r="M84" s="52" t="s">
        <v>187</v>
      </c>
      <c r="N84" s="52"/>
      <c r="O84" s="52"/>
      <c r="P84" s="42"/>
      <c r="Q84" s="42"/>
      <c r="R84" s="42"/>
    </row>
    <row r="85" spans="2:18" outlineLevel="1" x14ac:dyDescent="0.3">
      <c r="B85" s="102" t="s">
        <v>181</v>
      </c>
      <c r="C85" s="42"/>
      <c r="D85" s="42"/>
      <c r="E85" s="184"/>
      <c r="F85" s="184"/>
      <c r="G85" s="139">
        <v>0</v>
      </c>
      <c r="H85" s="139">
        <v>0</v>
      </c>
      <c r="I85" s="139">
        <v>0</v>
      </c>
      <c r="J85" s="139">
        <v>-10</v>
      </c>
      <c r="K85" s="139">
        <v>0</v>
      </c>
      <c r="L85" s="52"/>
      <c r="M85" s="52" t="s">
        <v>282</v>
      </c>
      <c r="N85" s="52"/>
      <c r="O85" s="52"/>
      <c r="P85" s="42"/>
      <c r="Q85" s="42"/>
      <c r="R85" s="42"/>
    </row>
    <row r="86" spans="2:18" s="2" customFormat="1" outlineLevel="1" x14ac:dyDescent="0.3">
      <c r="B86" s="103" t="s">
        <v>22</v>
      </c>
      <c r="C86" s="44"/>
      <c r="D86" s="44"/>
      <c r="E86" s="188"/>
      <c r="F86" s="189"/>
      <c r="G86" s="181">
        <f t="shared" ref="G86:K86" si="46">SUM(G82:G85)</f>
        <v>0</v>
      </c>
      <c r="H86" s="181">
        <f t="shared" si="46"/>
        <v>80</v>
      </c>
      <c r="I86" s="181">
        <f t="shared" si="46"/>
        <v>60</v>
      </c>
      <c r="J86" s="181">
        <f t="shared" si="46"/>
        <v>40</v>
      </c>
      <c r="K86" s="181">
        <f t="shared" si="46"/>
        <v>20</v>
      </c>
      <c r="L86" s="53"/>
      <c r="M86" s="42"/>
      <c r="N86" s="53"/>
      <c r="O86" s="53"/>
      <c r="P86" s="44"/>
      <c r="Q86" s="44"/>
      <c r="R86" s="44"/>
    </row>
    <row r="87" spans="2:18" outlineLevel="1" x14ac:dyDescent="0.3">
      <c r="B87" s="42"/>
      <c r="C87" s="42"/>
      <c r="D87" s="42"/>
      <c r="E87" s="141"/>
      <c r="F87" s="141"/>
      <c r="G87" s="141"/>
      <c r="H87" s="141"/>
      <c r="I87" s="141"/>
      <c r="J87" s="141"/>
      <c r="K87" s="141"/>
      <c r="L87" s="52"/>
      <c r="M87" s="52"/>
      <c r="N87" s="52"/>
      <c r="O87" s="52"/>
      <c r="P87" s="42"/>
      <c r="Q87" s="42"/>
      <c r="R87" s="42"/>
    </row>
    <row r="88" spans="2:18" outlineLevel="1" x14ac:dyDescent="0.3">
      <c r="B88" s="102" t="s">
        <v>296</v>
      </c>
      <c r="C88" s="42"/>
      <c r="D88" s="42"/>
      <c r="E88" s="184"/>
      <c r="F88" s="184"/>
      <c r="G88" s="141">
        <f>G86-G84</f>
        <v>10</v>
      </c>
      <c r="H88" s="141">
        <f>H86-H84</f>
        <v>100</v>
      </c>
      <c r="I88" s="141">
        <f>I86-I84</f>
        <v>80</v>
      </c>
      <c r="J88" s="141">
        <f>J86-J84</f>
        <v>70</v>
      </c>
      <c r="K88" s="141">
        <f>K86-K84</f>
        <v>40</v>
      </c>
      <c r="L88" s="52"/>
      <c r="M88" s="52" t="s">
        <v>286</v>
      </c>
      <c r="N88" s="52"/>
      <c r="O88" s="52"/>
      <c r="P88" s="42"/>
      <c r="Q88" s="42"/>
      <c r="R88" s="42"/>
    </row>
    <row r="89" spans="2:18" outlineLevel="1" x14ac:dyDescent="0.3">
      <c r="B89" s="102" t="s">
        <v>295</v>
      </c>
      <c r="C89" s="42"/>
      <c r="D89" s="42"/>
      <c r="E89" s="184"/>
      <c r="F89" s="184"/>
      <c r="G89" s="141">
        <f>F88-G88+G83</f>
        <v>0</v>
      </c>
      <c r="H89" s="141">
        <f t="shared" ref="H89:K89" si="47">G88-H88+H83</f>
        <v>10</v>
      </c>
      <c r="I89" s="141">
        <f t="shared" si="47"/>
        <v>20</v>
      </c>
      <c r="J89" s="141">
        <f t="shared" si="47"/>
        <v>30</v>
      </c>
      <c r="K89" s="141">
        <f t="shared" si="47"/>
        <v>30</v>
      </c>
      <c r="L89" s="52"/>
      <c r="M89" s="52" t="s">
        <v>287</v>
      </c>
      <c r="N89" s="52"/>
      <c r="O89" s="52"/>
      <c r="P89" s="42"/>
      <c r="Q89" s="42"/>
      <c r="R89" s="42"/>
    </row>
    <row r="90" spans="2:18" outlineLevel="1" x14ac:dyDescent="0.3">
      <c r="B90" s="102" t="s">
        <v>44</v>
      </c>
      <c r="C90" s="42"/>
      <c r="D90" s="42"/>
      <c r="E90" s="136"/>
      <c r="F90" s="136"/>
      <c r="G90" s="118">
        <v>0.03</v>
      </c>
      <c r="H90" s="118">
        <v>0.03</v>
      </c>
      <c r="I90" s="118">
        <v>0.03</v>
      </c>
      <c r="J90" s="118">
        <v>2.5000000000000001E-2</v>
      </c>
      <c r="K90" s="118">
        <v>2.5000000000000001E-2</v>
      </c>
      <c r="L90" s="52"/>
      <c r="M90" s="42" t="s">
        <v>52</v>
      </c>
      <c r="N90" s="52"/>
      <c r="O90" s="52"/>
      <c r="P90" s="42"/>
      <c r="Q90" s="42"/>
      <c r="R90" s="42"/>
    </row>
    <row r="91" spans="2:18" outlineLevel="1" x14ac:dyDescent="0.3">
      <c r="B91" s="103" t="s">
        <v>377</v>
      </c>
      <c r="C91" s="44"/>
      <c r="D91" s="44"/>
      <c r="E91" s="185"/>
      <c r="F91" s="185"/>
      <c r="G91" s="171">
        <f>G90*-(F88+G88)/2</f>
        <v>-0.15</v>
      </c>
      <c r="H91" s="171">
        <f>H90*-(G88+H88)/2</f>
        <v>-1.65</v>
      </c>
      <c r="I91" s="171">
        <f>I90*-(H88+I88)/2</f>
        <v>-2.6999999999999997</v>
      </c>
      <c r="J91" s="171">
        <f>J90*-(I88+J88)/2</f>
        <v>-1.875</v>
      </c>
      <c r="K91" s="171">
        <f>K90*-(J88+K88)/2</f>
        <v>-1.375</v>
      </c>
      <c r="L91" s="58"/>
      <c r="M91" s="42"/>
      <c r="N91" s="42"/>
      <c r="O91" s="42"/>
      <c r="P91" s="42"/>
      <c r="Q91" s="42"/>
      <c r="R91" s="42"/>
    </row>
    <row r="92" spans="2:18" outlineLevel="1" x14ac:dyDescent="0.3">
      <c r="B92" s="42"/>
      <c r="C92" s="42"/>
      <c r="D92" s="42"/>
      <c r="E92" s="144"/>
      <c r="F92" s="144"/>
      <c r="G92" s="146"/>
      <c r="H92" s="146"/>
      <c r="I92" s="146"/>
      <c r="J92" s="146"/>
      <c r="K92" s="146"/>
      <c r="L92" s="52"/>
      <c r="M92" s="52"/>
      <c r="N92" s="52"/>
      <c r="O92" s="52"/>
      <c r="P92" s="42"/>
      <c r="Q92" s="42"/>
      <c r="R92" s="42"/>
    </row>
    <row r="93" spans="2:18" outlineLevel="1" x14ac:dyDescent="0.3">
      <c r="B93" s="104" t="s">
        <v>294</v>
      </c>
      <c r="C93" s="50"/>
      <c r="D93" s="50"/>
      <c r="E93" s="138"/>
      <c r="F93" s="138"/>
      <c r="G93" s="138"/>
      <c r="H93" s="138"/>
      <c r="I93" s="138"/>
      <c r="J93" s="138"/>
      <c r="K93" s="138"/>
      <c r="L93" s="52"/>
      <c r="M93" s="52" t="s">
        <v>297</v>
      </c>
      <c r="N93" s="52"/>
      <c r="O93" s="52"/>
      <c r="P93" s="42"/>
      <c r="Q93" s="42"/>
      <c r="R93" s="42"/>
    </row>
    <row r="94" spans="2:18" outlineLevel="1" x14ac:dyDescent="0.3">
      <c r="B94" s="102" t="s">
        <v>53</v>
      </c>
      <c r="C94" s="50"/>
      <c r="D94" s="50"/>
      <c r="E94" s="182">
        <f>E69+E82</f>
        <v>80</v>
      </c>
      <c r="F94" s="182">
        <f t="shared" ref="F94:K94" si="48">F69+F82</f>
        <v>70</v>
      </c>
      <c r="G94" s="182">
        <f t="shared" si="48"/>
        <v>101</v>
      </c>
      <c r="H94" s="182">
        <f t="shared" si="48"/>
        <v>71</v>
      </c>
      <c r="I94" s="182">
        <f t="shared" si="48"/>
        <v>131</v>
      </c>
      <c r="J94" s="182">
        <f t="shared" si="48"/>
        <v>101</v>
      </c>
      <c r="K94" s="182">
        <f t="shared" si="48"/>
        <v>71</v>
      </c>
      <c r="L94" s="52"/>
      <c r="M94" s="52"/>
      <c r="N94" s="52"/>
      <c r="O94" s="52"/>
      <c r="P94" s="42"/>
      <c r="Q94" s="42"/>
      <c r="R94" s="42"/>
    </row>
    <row r="95" spans="2:18" outlineLevel="1" x14ac:dyDescent="0.3">
      <c r="B95" s="102" t="s">
        <v>188</v>
      </c>
      <c r="C95" s="50"/>
      <c r="D95" s="50"/>
      <c r="E95" s="182">
        <f t="shared" ref="E95:K95" si="49">E70+E83</f>
        <v>10</v>
      </c>
      <c r="F95" s="182">
        <f t="shared" si="49"/>
        <v>41</v>
      </c>
      <c r="G95" s="182">
        <f t="shared" si="49"/>
        <v>10</v>
      </c>
      <c r="H95" s="182">
        <f t="shared" si="49"/>
        <v>100</v>
      </c>
      <c r="I95" s="182">
        <f t="shared" si="49"/>
        <v>0</v>
      </c>
      <c r="J95" s="182">
        <f t="shared" si="49"/>
        <v>20</v>
      </c>
      <c r="K95" s="182">
        <f t="shared" si="49"/>
        <v>0</v>
      </c>
      <c r="L95" s="52"/>
      <c r="M95" s="52" t="s">
        <v>20</v>
      </c>
      <c r="N95" s="52"/>
      <c r="O95" s="52"/>
      <c r="P95" s="42"/>
      <c r="Q95" s="42"/>
      <c r="R95" s="42"/>
    </row>
    <row r="96" spans="2:18" outlineLevel="1" x14ac:dyDescent="0.3">
      <c r="B96" s="102" t="s">
        <v>186</v>
      </c>
      <c r="C96" s="42"/>
      <c r="D96" s="42"/>
      <c r="E96" s="182">
        <f t="shared" ref="E96:K96" si="50">E71+E84</f>
        <v>-10</v>
      </c>
      <c r="F96" s="182">
        <f t="shared" si="50"/>
        <v>-10</v>
      </c>
      <c r="G96" s="182">
        <f t="shared" si="50"/>
        <v>-20</v>
      </c>
      <c r="H96" s="182">
        <f t="shared" si="50"/>
        <v>-40</v>
      </c>
      <c r="I96" s="182">
        <f t="shared" si="50"/>
        <v>-30</v>
      </c>
      <c r="J96" s="182">
        <f t="shared" si="50"/>
        <v>-40</v>
      </c>
      <c r="K96" s="182">
        <f t="shared" si="50"/>
        <v>-30</v>
      </c>
      <c r="L96" s="52"/>
      <c r="M96" s="52" t="s">
        <v>298</v>
      </c>
      <c r="N96" s="52"/>
      <c r="O96" s="52"/>
      <c r="P96" s="42"/>
      <c r="Q96" s="42"/>
      <c r="R96" s="42"/>
    </row>
    <row r="97" spans="2:18" outlineLevel="1" x14ac:dyDescent="0.3">
      <c r="B97" s="102" t="s">
        <v>181</v>
      </c>
      <c r="C97" s="42"/>
      <c r="D97" s="42"/>
      <c r="E97" s="182">
        <f t="shared" ref="E97:K97" si="51">E72+E85</f>
        <v>-10</v>
      </c>
      <c r="F97" s="182">
        <f t="shared" si="51"/>
        <v>0</v>
      </c>
      <c r="G97" s="182">
        <f t="shared" si="51"/>
        <v>-20</v>
      </c>
      <c r="H97" s="182">
        <f t="shared" si="51"/>
        <v>0</v>
      </c>
      <c r="I97" s="182">
        <f t="shared" si="51"/>
        <v>0</v>
      </c>
      <c r="J97" s="182">
        <f t="shared" si="51"/>
        <v>-10</v>
      </c>
      <c r="K97" s="182">
        <f t="shared" si="51"/>
        <v>0</v>
      </c>
      <c r="L97" s="52"/>
      <c r="M97" s="52" t="s">
        <v>282</v>
      </c>
      <c r="N97" s="52"/>
      <c r="O97" s="52"/>
      <c r="P97" s="42"/>
      <c r="Q97" s="42"/>
      <c r="R97" s="42"/>
    </row>
    <row r="98" spans="2:18" s="2" customFormat="1" outlineLevel="1" x14ac:dyDescent="0.3">
      <c r="B98" s="103" t="s">
        <v>22</v>
      </c>
      <c r="C98" s="44"/>
      <c r="D98" s="44"/>
      <c r="E98" s="183">
        <f t="shared" ref="E98:K98" si="52">SUM(E94:E97)</f>
        <v>70</v>
      </c>
      <c r="F98" s="183">
        <f t="shared" si="52"/>
        <v>101</v>
      </c>
      <c r="G98" s="183">
        <f t="shared" si="52"/>
        <v>71</v>
      </c>
      <c r="H98" s="183">
        <f t="shared" si="52"/>
        <v>131</v>
      </c>
      <c r="I98" s="183">
        <f t="shared" si="52"/>
        <v>101</v>
      </c>
      <c r="J98" s="183">
        <f t="shared" si="52"/>
        <v>71</v>
      </c>
      <c r="K98" s="183">
        <f t="shared" si="52"/>
        <v>41</v>
      </c>
      <c r="L98" s="53"/>
      <c r="M98" s="42" t="s">
        <v>45</v>
      </c>
      <c r="N98" s="53"/>
      <c r="O98" s="53"/>
      <c r="P98" s="44"/>
      <c r="Q98" s="44"/>
      <c r="R98" s="44"/>
    </row>
    <row r="99" spans="2:18" outlineLevel="1" x14ac:dyDescent="0.3">
      <c r="B99" s="42"/>
      <c r="C99" s="42"/>
      <c r="D99" s="42"/>
      <c r="E99" s="141"/>
      <c r="F99" s="141"/>
      <c r="G99" s="141"/>
      <c r="H99" s="141"/>
      <c r="I99" s="141"/>
      <c r="J99" s="141"/>
      <c r="K99" s="141"/>
      <c r="L99" s="52"/>
      <c r="M99" s="52"/>
      <c r="N99" s="52"/>
      <c r="O99" s="52"/>
      <c r="P99" s="42"/>
      <c r="Q99" s="42"/>
      <c r="R99" s="42"/>
    </row>
    <row r="100" spans="2:18" outlineLevel="1" x14ac:dyDescent="0.3">
      <c r="B100" s="102" t="s">
        <v>296</v>
      </c>
      <c r="C100" s="42"/>
      <c r="D100" s="42"/>
      <c r="E100" s="144">
        <f t="shared" ref="E100:K100" si="53">E76+E88</f>
        <v>80</v>
      </c>
      <c r="F100" s="144">
        <f t="shared" si="53"/>
        <v>111</v>
      </c>
      <c r="G100" s="144">
        <f t="shared" si="53"/>
        <v>91</v>
      </c>
      <c r="H100" s="144">
        <f t="shared" si="53"/>
        <v>171</v>
      </c>
      <c r="I100" s="144">
        <f t="shared" si="53"/>
        <v>131</v>
      </c>
      <c r="J100" s="144">
        <f t="shared" si="53"/>
        <v>111</v>
      </c>
      <c r="K100" s="144">
        <f t="shared" si="53"/>
        <v>71</v>
      </c>
      <c r="L100" s="58"/>
      <c r="M100" s="42"/>
      <c r="N100" s="52"/>
      <c r="O100" s="52"/>
      <c r="P100" s="42"/>
      <c r="Q100" s="42"/>
      <c r="R100" s="42"/>
    </row>
    <row r="101" spans="2:18" outlineLevel="1" x14ac:dyDescent="0.3">
      <c r="B101" s="103" t="s">
        <v>189</v>
      </c>
      <c r="C101" s="42"/>
      <c r="D101" s="42"/>
      <c r="E101" s="186"/>
      <c r="F101" s="145">
        <f t="shared" ref="F101:K101" si="54">F77+F89</f>
        <v>10</v>
      </c>
      <c r="G101" s="145">
        <f t="shared" si="54"/>
        <v>30</v>
      </c>
      <c r="H101" s="145">
        <f t="shared" si="54"/>
        <v>20</v>
      </c>
      <c r="I101" s="145">
        <f t="shared" si="54"/>
        <v>40</v>
      </c>
      <c r="J101" s="145">
        <f t="shared" si="54"/>
        <v>40</v>
      </c>
      <c r="K101" s="145">
        <f t="shared" si="54"/>
        <v>40</v>
      </c>
      <c r="L101" s="58"/>
      <c r="M101" s="42" t="s">
        <v>20</v>
      </c>
      <c r="N101" s="52"/>
      <c r="O101" s="52"/>
      <c r="P101" s="42"/>
      <c r="Q101" s="42"/>
      <c r="R101" s="42"/>
    </row>
    <row r="102" spans="2:18" outlineLevel="1" x14ac:dyDescent="0.3">
      <c r="B102" s="102" t="s">
        <v>224</v>
      </c>
      <c r="C102" s="42"/>
      <c r="D102" s="42"/>
      <c r="E102" s="172"/>
      <c r="F102" s="144">
        <f t="shared" ref="F102:K102" si="55">F101+F97</f>
        <v>10</v>
      </c>
      <c r="G102" s="144">
        <f t="shared" si="55"/>
        <v>10</v>
      </c>
      <c r="H102" s="144">
        <f t="shared" si="55"/>
        <v>20</v>
      </c>
      <c r="I102" s="144">
        <f t="shared" si="55"/>
        <v>40</v>
      </c>
      <c r="J102" s="144">
        <f t="shared" si="55"/>
        <v>30</v>
      </c>
      <c r="K102" s="144">
        <f t="shared" si="55"/>
        <v>40</v>
      </c>
      <c r="L102" s="58"/>
      <c r="M102" s="42" t="s">
        <v>222</v>
      </c>
      <c r="N102" s="52"/>
      <c r="O102" s="52"/>
      <c r="P102" s="42"/>
      <c r="Q102" s="42"/>
      <c r="R102" s="42"/>
    </row>
    <row r="103" spans="2:18" outlineLevel="1" x14ac:dyDescent="0.3">
      <c r="B103" s="103"/>
      <c r="C103" s="42"/>
      <c r="D103" s="42"/>
      <c r="E103" s="145"/>
      <c r="F103" s="145"/>
      <c r="G103" s="145"/>
      <c r="H103" s="145"/>
      <c r="I103" s="145"/>
      <c r="J103" s="145"/>
      <c r="K103" s="145"/>
      <c r="L103" s="58"/>
      <c r="M103" s="42"/>
      <c r="N103" s="52"/>
      <c r="O103" s="52"/>
      <c r="P103" s="42"/>
      <c r="Q103" s="42"/>
      <c r="R103" s="42"/>
    </row>
    <row r="104" spans="2:18" outlineLevel="1" x14ac:dyDescent="0.3">
      <c r="B104" s="102" t="s">
        <v>44</v>
      </c>
      <c r="C104" s="42"/>
      <c r="D104" s="42"/>
      <c r="E104" s="136"/>
      <c r="F104" s="71">
        <f t="shared" ref="F104:K104" si="56">-F105/((F100+E100)/2)</f>
        <v>0.26178010471204188</v>
      </c>
      <c r="G104" s="71">
        <f t="shared" si="56"/>
        <v>4.9009900990099019E-2</v>
      </c>
      <c r="H104" s="71">
        <f t="shared" si="56"/>
        <v>4.1603053435114508E-2</v>
      </c>
      <c r="I104" s="71">
        <f t="shared" si="56"/>
        <v>3.8079470198675497E-2</v>
      </c>
      <c r="J104" s="71">
        <f t="shared" si="56"/>
        <v>3.4504132231404964E-2</v>
      </c>
      <c r="K104" s="71">
        <f t="shared" si="56"/>
        <v>3.4890109890109891E-2</v>
      </c>
      <c r="L104" s="52"/>
      <c r="M104" s="42" t="s">
        <v>52</v>
      </c>
      <c r="N104" s="52"/>
      <c r="O104" s="52"/>
      <c r="P104" s="42"/>
      <c r="Q104" s="42"/>
      <c r="R104" s="42"/>
    </row>
    <row r="105" spans="2:18" outlineLevel="1" x14ac:dyDescent="0.3">
      <c r="B105" s="103" t="s">
        <v>299</v>
      </c>
      <c r="C105" s="44"/>
      <c r="D105" s="44"/>
      <c r="E105" s="145">
        <f t="shared" ref="E105:K105" si="57">E79+E91</f>
        <v>-20</v>
      </c>
      <c r="F105" s="145">
        <f t="shared" si="57"/>
        <v>-25</v>
      </c>
      <c r="G105" s="145">
        <f t="shared" si="57"/>
        <v>-4.9500000000000011</v>
      </c>
      <c r="H105" s="145">
        <f t="shared" si="57"/>
        <v>-5.45</v>
      </c>
      <c r="I105" s="145">
        <f t="shared" si="57"/>
        <v>-5.75</v>
      </c>
      <c r="J105" s="145">
        <f t="shared" si="57"/>
        <v>-4.1750000000000007</v>
      </c>
      <c r="K105" s="145">
        <f t="shared" si="57"/>
        <v>-3.1749999999999998</v>
      </c>
      <c r="L105" s="58"/>
      <c r="M105" s="42" t="s">
        <v>182</v>
      </c>
      <c r="N105" s="42"/>
      <c r="O105" s="42"/>
      <c r="P105" s="42"/>
      <c r="Q105" s="42"/>
      <c r="R105" s="42"/>
    </row>
    <row r="106" spans="2:18" outlineLevel="1" x14ac:dyDescent="0.3">
      <c r="B106" s="42"/>
      <c r="C106" s="42"/>
      <c r="D106" s="42"/>
      <c r="E106" s="144"/>
      <c r="F106" s="144"/>
      <c r="G106" s="146"/>
      <c r="H106" s="146"/>
      <c r="I106" s="146"/>
      <c r="J106" s="146"/>
      <c r="K106" s="146"/>
      <c r="L106" s="52"/>
      <c r="M106" s="52"/>
      <c r="N106" s="52"/>
      <c r="O106" s="52"/>
      <c r="P106" s="42"/>
      <c r="Q106" s="42"/>
      <c r="R106" s="42"/>
    </row>
    <row r="107" spans="2:18" x14ac:dyDescent="0.3">
      <c r="B107" s="44"/>
      <c r="C107" s="42"/>
      <c r="D107" s="42"/>
      <c r="E107" s="148"/>
      <c r="F107" s="148"/>
      <c r="G107" s="171"/>
      <c r="H107" s="171"/>
      <c r="I107" s="171"/>
      <c r="J107" s="171"/>
      <c r="K107" s="171"/>
      <c r="L107" s="58"/>
      <c r="M107" s="42"/>
      <c r="N107" s="42"/>
      <c r="O107" s="42"/>
      <c r="P107" s="42"/>
      <c r="Q107" s="42"/>
      <c r="R107" s="42"/>
    </row>
    <row r="108" spans="2:18" s="2" customFormat="1" x14ac:dyDescent="0.3">
      <c r="B108" s="126" t="s">
        <v>72</v>
      </c>
      <c r="C108" s="127"/>
      <c r="D108" s="126"/>
      <c r="E108" s="127" t="str">
        <f>E$5</f>
        <v>R 2024</v>
      </c>
      <c r="F108" s="127" t="str">
        <f t="shared" ref="F108:K108" si="58">F$5</f>
        <v>R 2025</v>
      </c>
      <c r="G108" s="127" t="str">
        <f t="shared" si="58"/>
        <v>P 2026</v>
      </c>
      <c r="H108" s="127" t="str">
        <f t="shared" si="58"/>
        <v>P 2027</v>
      </c>
      <c r="I108" s="127" t="str">
        <f t="shared" si="58"/>
        <v>P 2028</v>
      </c>
      <c r="J108" s="127" t="str">
        <f t="shared" si="58"/>
        <v>P 2029</v>
      </c>
      <c r="K108" s="127" t="str">
        <f t="shared" si="58"/>
        <v>P 2030</v>
      </c>
      <c r="L108" s="57"/>
      <c r="M108" s="57"/>
      <c r="N108" s="44"/>
      <c r="O108" s="44"/>
      <c r="P108" s="44"/>
      <c r="Q108" s="44"/>
      <c r="R108" s="44"/>
    </row>
    <row r="109" spans="2:18" outlineLevel="1" x14ac:dyDescent="0.3">
      <c r="B109" s="42"/>
      <c r="C109" s="42"/>
      <c r="D109" s="42"/>
      <c r="E109" s="42"/>
      <c r="F109" s="42"/>
      <c r="G109" s="42"/>
      <c r="H109" s="42"/>
      <c r="I109" s="42"/>
      <c r="J109" s="42"/>
      <c r="K109" s="42"/>
      <c r="L109" s="42"/>
      <c r="M109" s="42"/>
      <c r="N109" s="42"/>
      <c r="O109" s="42"/>
      <c r="P109" s="42"/>
      <c r="Q109" s="42"/>
      <c r="R109" s="42"/>
    </row>
    <row r="110" spans="2:18" outlineLevel="1" x14ac:dyDescent="0.3">
      <c r="B110" s="44" t="str">
        <f>Balans!B24</f>
        <v>Kortlopend deel LLS</v>
      </c>
      <c r="C110" s="42"/>
      <c r="D110" s="42"/>
      <c r="E110" s="145">
        <f t="shared" ref="E110:K110" si="59">-E96</f>
        <v>10</v>
      </c>
      <c r="F110" s="145">
        <f t="shared" si="59"/>
        <v>10</v>
      </c>
      <c r="G110" s="145">
        <f t="shared" si="59"/>
        <v>20</v>
      </c>
      <c r="H110" s="145">
        <f t="shared" si="59"/>
        <v>40</v>
      </c>
      <c r="I110" s="145">
        <f t="shared" si="59"/>
        <v>30</v>
      </c>
      <c r="J110" s="145">
        <f t="shared" si="59"/>
        <v>40</v>
      </c>
      <c r="K110" s="145">
        <f t="shared" si="59"/>
        <v>30</v>
      </c>
      <c r="L110" s="42"/>
      <c r="M110" s="42" t="s">
        <v>50</v>
      </c>
      <c r="N110" s="42"/>
      <c r="O110" s="42"/>
      <c r="P110" s="42"/>
      <c r="Q110" s="42"/>
      <c r="R110" s="42"/>
    </row>
    <row r="111" spans="2:18" outlineLevel="1" x14ac:dyDescent="0.3">
      <c r="B111" s="42"/>
      <c r="C111" s="42"/>
      <c r="D111" s="42"/>
      <c r="E111" s="144"/>
      <c r="F111" s="144"/>
      <c r="G111" s="144"/>
      <c r="H111" s="144"/>
      <c r="I111" s="144"/>
      <c r="J111" s="144"/>
      <c r="K111" s="144"/>
      <c r="L111" s="42"/>
      <c r="M111" s="42"/>
      <c r="N111" s="42"/>
      <c r="O111" s="42"/>
      <c r="P111" s="42"/>
      <c r="Q111" s="42"/>
      <c r="R111" s="42"/>
    </row>
    <row r="112" spans="2:18" outlineLevel="1" x14ac:dyDescent="0.3">
      <c r="B112" s="44" t="str">
        <f>Balans!B25</f>
        <v>Kortlopende schulden rentedragend</v>
      </c>
      <c r="C112" s="42"/>
      <c r="D112" s="42"/>
      <c r="E112" s="154">
        <f>'1. Realisatie RR en BS'!E56</f>
        <v>4</v>
      </c>
      <c r="F112" s="154">
        <f>'1. Realisatie RR en BS'!F56</f>
        <v>4</v>
      </c>
      <c r="G112" s="156">
        <v>0</v>
      </c>
      <c r="H112" s="156">
        <v>50</v>
      </c>
      <c r="I112" s="156">
        <v>25</v>
      </c>
      <c r="J112" s="156">
        <v>0</v>
      </c>
      <c r="K112" s="156">
        <v>0</v>
      </c>
      <c r="L112" s="58"/>
      <c r="M112" s="42" t="s">
        <v>167</v>
      </c>
      <c r="N112" s="42"/>
      <c r="O112" s="42"/>
      <c r="P112" s="42"/>
      <c r="Q112" s="42"/>
      <c r="R112" s="42"/>
    </row>
    <row r="113" spans="2:18" outlineLevel="1" x14ac:dyDescent="0.3">
      <c r="B113" s="42" t="s">
        <v>46</v>
      </c>
      <c r="C113" s="119">
        <v>7.0000000000000007E-2</v>
      </c>
      <c r="D113" s="42"/>
      <c r="E113" s="71"/>
      <c r="F113" s="71">
        <f>IFERROR(-F114/((E112+F112)/2),0%)</f>
        <v>1.25</v>
      </c>
      <c r="G113" s="71">
        <f>$C113</f>
        <v>7.0000000000000007E-2</v>
      </c>
      <c r="H113" s="71">
        <f t="shared" ref="H113:K113" si="60">$C113</f>
        <v>7.0000000000000007E-2</v>
      </c>
      <c r="I113" s="71">
        <f t="shared" si="60"/>
        <v>7.0000000000000007E-2</v>
      </c>
      <c r="J113" s="71">
        <f t="shared" si="60"/>
        <v>7.0000000000000007E-2</v>
      </c>
      <c r="K113" s="71">
        <f t="shared" si="60"/>
        <v>7.0000000000000007E-2</v>
      </c>
      <c r="L113" s="52"/>
      <c r="M113" s="52" t="s">
        <v>54</v>
      </c>
      <c r="N113" s="52"/>
      <c r="O113" s="52"/>
      <c r="P113" s="42"/>
      <c r="Q113" s="42"/>
      <c r="R113" s="42"/>
    </row>
    <row r="114" spans="2:18" outlineLevel="1" x14ac:dyDescent="0.3">
      <c r="B114" s="44" t="s">
        <v>168</v>
      </c>
      <c r="C114" s="42"/>
      <c r="D114" s="42"/>
      <c r="E114" s="154">
        <f>'1. Realisatie RR en BS'!E27</f>
        <v>-5</v>
      </c>
      <c r="F114" s="154">
        <f>'1. Realisatie RR en BS'!F27</f>
        <v>-5</v>
      </c>
      <c r="G114" s="145">
        <f>-G113*(F112+G112)/2</f>
        <v>-0.14000000000000001</v>
      </c>
      <c r="H114" s="145">
        <f>-H113*(G112+H112)/2</f>
        <v>-1.7500000000000002</v>
      </c>
      <c r="I114" s="145">
        <f>-I113*(H112+I112)/2</f>
        <v>-2.6250000000000004</v>
      </c>
      <c r="J114" s="145">
        <f>-J113*(I112+J112)/2</f>
        <v>-0.87500000000000011</v>
      </c>
      <c r="K114" s="145">
        <f>-K113*(J112+K112)/2</f>
        <v>0</v>
      </c>
      <c r="L114" s="58"/>
      <c r="M114" s="42" t="s">
        <v>49</v>
      </c>
      <c r="N114" s="42"/>
      <c r="O114" s="42"/>
      <c r="P114" s="42"/>
      <c r="Q114" s="42"/>
      <c r="R114" s="42"/>
    </row>
    <row r="115" spans="2:18" outlineLevel="1" x14ac:dyDescent="0.3">
      <c r="B115" s="44"/>
      <c r="C115" s="42"/>
      <c r="D115" s="42"/>
      <c r="E115" s="144"/>
      <c r="F115" s="144"/>
      <c r="G115" s="145"/>
      <c r="H115" s="145"/>
      <c r="I115" s="145"/>
      <c r="J115" s="145"/>
      <c r="K115" s="145"/>
      <c r="L115" s="58"/>
      <c r="M115" s="42"/>
      <c r="N115" s="42"/>
      <c r="O115" s="42"/>
      <c r="P115" s="42"/>
      <c r="Q115" s="42"/>
      <c r="R115" s="42"/>
    </row>
    <row r="116" spans="2:18" outlineLevel="1" x14ac:dyDescent="0.3">
      <c r="B116" s="42" t="s">
        <v>349</v>
      </c>
      <c r="C116" s="42"/>
      <c r="D116" s="42"/>
      <c r="E116" s="152">
        <f>'2. Prognose RR'!E24</f>
        <v>-300</v>
      </c>
      <c r="F116" s="152">
        <f>'2. Prognose RR'!F24</f>
        <v>-320</v>
      </c>
      <c r="G116" s="152">
        <f>'2. Prognose RR'!G24</f>
        <v>-279.072</v>
      </c>
      <c r="H116" s="152">
        <f>'2. Prognose RR'!H24</f>
        <v>-308.37456000000003</v>
      </c>
      <c r="I116" s="152">
        <f>'2. Prognose RR'!I24</f>
        <v>-338.73759360000003</v>
      </c>
      <c r="J116" s="152">
        <f>'2. Prognose RR'!J24</f>
        <v>-370.19179872000001</v>
      </c>
      <c r="K116" s="152">
        <f>'2. Prognose RR'!K24</f>
        <v>-377.59563469440002</v>
      </c>
      <c r="L116" s="58"/>
      <c r="M116" s="42" t="s">
        <v>266</v>
      </c>
      <c r="N116" s="42"/>
      <c r="O116" s="42"/>
      <c r="P116" s="42"/>
      <c r="Q116" s="42"/>
      <c r="R116" s="42"/>
    </row>
    <row r="117" spans="2:18" outlineLevel="1" x14ac:dyDescent="0.3">
      <c r="B117" s="42" t="s">
        <v>23</v>
      </c>
      <c r="C117" s="116">
        <v>45</v>
      </c>
      <c r="D117" s="42"/>
      <c r="E117" s="65">
        <f>E118/(-E116/365)</f>
        <v>48.666666666666671</v>
      </c>
      <c r="F117" s="65">
        <f>F118/(-F116/365)</f>
        <v>51.328125</v>
      </c>
      <c r="G117" s="58">
        <f>$C117</f>
        <v>45</v>
      </c>
      <c r="H117" s="58">
        <f t="shared" ref="H117:K117" si="61">$C117</f>
        <v>45</v>
      </c>
      <c r="I117" s="58">
        <f t="shared" si="61"/>
        <v>45</v>
      </c>
      <c r="J117" s="58">
        <f t="shared" si="61"/>
        <v>45</v>
      </c>
      <c r="K117" s="58">
        <f t="shared" si="61"/>
        <v>45</v>
      </c>
      <c r="L117" s="42"/>
      <c r="M117" s="52" t="s">
        <v>36</v>
      </c>
      <c r="N117" s="42"/>
      <c r="O117" s="42"/>
      <c r="P117" s="42"/>
      <c r="Q117" s="42"/>
      <c r="R117" s="42"/>
    </row>
    <row r="118" spans="2:18" outlineLevel="1" x14ac:dyDescent="0.3">
      <c r="B118" s="44" t="str">
        <f>Balans!B26</f>
        <v>Crediteuren</v>
      </c>
      <c r="C118" s="42"/>
      <c r="D118" s="42"/>
      <c r="E118" s="154">
        <f>'1. Realisatie RR en BS'!E57</f>
        <v>40</v>
      </c>
      <c r="F118" s="154">
        <f>'1. Realisatie RR en BS'!F57</f>
        <v>45</v>
      </c>
      <c r="G118" s="145">
        <f>-G116/365*G117</f>
        <v>34.40613698630137</v>
      </c>
      <c r="H118" s="145">
        <f t="shared" ref="H118:K118" si="62">-H116/365*H117</f>
        <v>38.018781369863014</v>
      </c>
      <c r="I118" s="145">
        <f t="shared" si="62"/>
        <v>41.762169073972608</v>
      </c>
      <c r="J118" s="145">
        <f t="shared" si="62"/>
        <v>45.640084773698625</v>
      </c>
      <c r="K118" s="145">
        <f t="shared" si="62"/>
        <v>46.552886469172606</v>
      </c>
      <c r="L118" s="42"/>
      <c r="M118" s="42" t="s">
        <v>379</v>
      </c>
      <c r="N118" s="42"/>
      <c r="O118" s="42"/>
      <c r="P118" s="42"/>
      <c r="Q118" s="42"/>
      <c r="R118" s="42"/>
    </row>
    <row r="119" spans="2:18" outlineLevel="1" x14ac:dyDescent="0.3">
      <c r="B119" s="42"/>
      <c r="C119" s="42"/>
      <c r="D119" s="42"/>
      <c r="E119" s="144"/>
      <c r="F119" s="144"/>
      <c r="G119" s="144"/>
      <c r="H119" s="144"/>
      <c r="I119" s="144"/>
      <c r="J119" s="144"/>
      <c r="K119" s="144"/>
      <c r="L119" s="42"/>
      <c r="M119" s="42"/>
      <c r="N119" s="42"/>
      <c r="O119" s="42"/>
      <c r="P119" s="42"/>
      <c r="Q119" s="42"/>
      <c r="R119" s="42"/>
    </row>
    <row r="120" spans="2:18" outlineLevel="1" x14ac:dyDescent="0.3">
      <c r="B120" s="42" t="str">
        <f>'2. Prognose RR'!B11</f>
        <v>Opbrengsten (p*q) productgroep 1</v>
      </c>
      <c r="C120" s="42"/>
      <c r="D120" s="42"/>
      <c r="E120" s="152">
        <f>'2. Prognose RR'!E11</f>
        <v>500</v>
      </c>
      <c r="F120" s="152">
        <f>'2. Prognose RR'!F11</f>
        <v>456</v>
      </c>
      <c r="G120" s="152">
        <f>'2. Prognose RR'!G11</f>
        <v>465.12</v>
      </c>
      <c r="H120" s="152">
        <f>'2. Prognose RR'!H11</f>
        <v>513.95760000000007</v>
      </c>
      <c r="I120" s="152">
        <f>'2. Prognose RR'!I11</f>
        <v>564.56265600000006</v>
      </c>
      <c r="J120" s="152">
        <f>'2. Prognose RR'!J11</f>
        <v>616.9863312</v>
      </c>
      <c r="K120" s="152">
        <f>'2. Prognose RR'!K11</f>
        <v>629.32605782400003</v>
      </c>
      <c r="L120" s="58"/>
      <c r="M120" s="42" t="s">
        <v>266</v>
      </c>
      <c r="N120" s="42"/>
      <c r="O120" s="42"/>
      <c r="P120" s="42"/>
      <c r="Q120" s="42"/>
      <c r="R120" s="42"/>
    </row>
    <row r="121" spans="2:18" outlineLevel="1" x14ac:dyDescent="0.3">
      <c r="B121" s="42" t="s">
        <v>37</v>
      </c>
      <c r="C121" s="119">
        <v>0.03</v>
      </c>
      <c r="D121" s="42"/>
      <c r="E121" s="72">
        <f>E122/E120</f>
        <v>0.06</v>
      </c>
      <c r="F121" s="72">
        <f>F122/F120</f>
        <v>5.4824561403508769E-2</v>
      </c>
      <c r="G121" s="63">
        <f>$C121</f>
        <v>0.03</v>
      </c>
      <c r="H121" s="63">
        <f t="shared" ref="H121:K121" si="63">$C121</f>
        <v>0.03</v>
      </c>
      <c r="I121" s="63">
        <f t="shared" si="63"/>
        <v>0.03</v>
      </c>
      <c r="J121" s="63">
        <f t="shared" si="63"/>
        <v>0.03</v>
      </c>
      <c r="K121" s="99">
        <f t="shared" si="63"/>
        <v>0.03</v>
      </c>
      <c r="L121" s="42"/>
      <c r="M121" s="52" t="s">
        <v>169</v>
      </c>
      <c r="N121" s="42"/>
      <c r="O121" s="42"/>
      <c r="P121" s="42"/>
      <c r="Q121" s="42"/>
      <c r="R121" s="42"/>
    </row>
    <row r="122" spans="2:18" outlineLevel="1" x14ac:dyDescent="0.3">
      <c r="B122" s="44" t="str">
        <f>Balans!B27</f>
        <v>Overige kortlopende passiva</v>
      </c>
      <c r="C122" s="42"/>
      <c r="D122" s="42"/>
      <c r="E122" s="152">
        <f>'1. Realisatie RR en BS'!E58</f>
        <v>30</v>
      </c>
      <c r="F122" s="152">
        <f>'1. Realisatie RR en BS'!F58</f>
        <v>25</v>
      </c>
      <c r="G122" s="145">
        <f>G121*G120</f>
        <v>13.9536</v>
      </c>
      <c r="H122" s="145">
        <f t="shared" ref="H122:K122" si="64">H121*H120</f>
        <v>15.418728000000002</v>
      </c>
      <c r="I122" s="145">
        <f t="shared" si="64"/>
        <v>16.936879680000001</v>
      </c>
      <c r="J122" s="145">
        <f t="shared" si="64"/>
        <v>18.509589935999998</v>
      </c>
      <c r="K122" s="145">
        <f t="shared" si="64"/>
        <v>18.879781734720002</v>
      </c>
      <c r="L122" s="42"/>
      <c r="M122" s="42" t="s">
        <v>166</v>
      </c>
      <c r="N122" s="42"/>
      <c r="O122" s="42"/>
      <c r="P122" s="42"/>
      <c r="Q122" s="42"/>
      <c r="R122" s="42"/>
    </row>
    <row r="123" spans="2:18" x14ac:dyDescent="0.3">
      <c r="B123" s="42"/>
      <c r="C123" s="42"/>
      <c r="D123" s="42"/>
      <c r="E123" s="146"/>
      <c r="F123" s="146"/>
      <c r="G123" s="146"/>
      <c r="H123" s="146"/>
      <c r="I123" s="146"/>
      <c r="J123" s="146"/>
      <c r="K123" s="146"/>
      <c r="L123" s="42"/>
      <c r="M123" s="42"/>
      <c r="N123" s="42"/>
      <c r="O123" s="42"/>
      <c r="P123" s="42"/>
      <c r="Q123" s="42"/>
      <c r="R123" s="42"/>
    </row>
    <row r="124" spans="2:18" s="2" customFormat="1" x14ac:dyDescent="0.3">
      <c r="B124" s="126" t="s">
        <v>73</v>
      </c>
      <c r="C124" s="127"/>
      <c r="D124" s="126"/>
      <c r="E124" s="127" t="str">
        <f>E$5</f>
        <v>R 2024</v>
      </c>
      <c r="F124" s="127" t="str">
        <f t="shared" ref="F124:K124" si="65">F$5</f>
        <v>R 2025</v>
      </c>
      <c r="G124" s="127" t="str">
        <f t="shared" si="65"/>
        <v>P 2026</v>
      </c>
      <c r="H124" s="127" t="str">
        <f t="shared" si="65"/>
        <v>P 2027</v>
      </c>
      <c r="I124" s="127" t="str">
        <f t="shared" si="65"/>
        <v>P 2028</v>
      </c>
      <c r="J124" s="127" t="str">
        <f t="shared" si="65"/>
        <v>P 2029</v>
      </c>
      <c r="K124" s="127" t="str">
        <f t="shared" si="65"/>
        <v>P 2030</v>
      </c>
      <c r="L124" s="57"/>
      <c r="M124" s="57"/>
      <c r="N124" s="57"/>
      <c r="O124" s="57"/>
      <c r="P124" s="44"/>
      <c r="Q124" s="44"/>
      <c r="R124" s="44"/>
    </row>
    <row r="125" spans="2:18" s="2" customFormat="1" outlineLevel="1" x14ac:dyDescent="0.3">
      <c r="B125" s="44"/>
      <c r="C125" s="44"/>
      <c r="D125" s="44"/>
      <c r="E125" s="66"/>
      <c r="F125" s="66"/>
      <c r="G125" s="66"/>
      <c r="H125" s="66"/>
      <c r="I125" s="66"/>
      <c r="J125" s="66"/>
      <c r="K125" s="66"/>
      <c r="L125" s="53"/>
      <c r="M125" s="53"/>
      <c r="N125" s="44"/>
      <c r="O125" s="44"/>
      <c r="P125" s="44"/>
      <c r="Q125" s="44"/>
      <c r="R125" s="44"/>
    </row>
    <row r="126" spans="2:18" outlineLevel="1" x14ac:dyDescent="0.3">
      <c r="B126" s="42" t="s">
        <v>263</v>
      </c>
      <c r="C126" s="42"/>
      <c r="D126" s="42"/>
      <c r="E126" s="85">
        <f t="shared" ref="E126:K126" si="66">E26+E41+E44+E47</f>
        <v>540</v>
      </c>
      <c r="F126" s="85">
        <f t="shared" si="66"/>
        <v>547</v>
      </c>
      <c r="G126" s="85">
        <f t="shared" si="66"/>
        <v>536.46803254931501</v>
      </c>
      <c r="H126" s="85">
        <f t="shared" si="66"/>
        <v>548.33707436849306</v>
      </c>
      <c r="I126" s="85">
        <f t="shared" si="66"/>
        <v>666.38232912969852</v>
      </c>
      <c r="J126" s="85">
        <f t="shared" si="66"/>
        <v>671.60889773388487</v>
      </c>
      <c r="K126" s="85">
        <f t="shared" si="66"/>
        <v>672.83915157456249</v>
      </c>
      <c r="L126" s="52"/>
      <c r="M126" s="52" t="s">
        <v>61</v>
      </c>
      <c r="N126" s="42"/>
      <c r="O126" s="42"/>
      <c r="P126" s="42"/>
      <c r="Q126" s="42"/>
      <c r="R126" s="42"/>
    </row>
    <row r="127" spans="2:18" outlineLevel="1" x14ac:dyDescent="0.3">
      <c r="B127" s="42" t="s">
        <v>75</v>
      </c>
      <c r="C127" s="42"/>
      <c r="D127" s="42"/>
      <c r="E127" s="85">
        <f>E131</f>
        <v>644</v>
      </c>
      <c r="F127" s="85">
        <f t="shared" ref="F127:K127" si="67">F131</f>
        <v>626</v>
      </c>
      <c r="G127" s="85">
        <f t="shared" si="67"/>
        <v>671.81619126130147</v>
      </c>
      <c r="H127" s="85">
        <f t="shared" si="67"/>
        <v>857.93002364486313</v>
      </c>
      <c r="I127" s="85">
        <f t="shared" si="67"/>
        <v>825.49920270897258</v>
      </c>
      <c r="J127" s="85">
        <f t="shared" si="67"/>
        <v>830.87888678789864</v>
      </c>
      <c r="K127" s="85">
        <f t="shared" si="67"/>
        <v>840.32151956775658</v>
      </c>
      <c r="L127" s="52"/>
      <c r="M127" s="52" t="s">
        <v>61</v>
      </c>
      <c r="N127" s="42"/>
      <c r="O127" s="42"/>
      <c r="P127" s="42"/>
      <c r="Q127" s="42"/>
      <c r="R127" s="42"/>
    </row>
    <row r="128" spans="2:18" outlineLevel="1" x14ac:dyDescent="0.3">
      <c r="B128" s="42" t="s">
        <v>264</v>
      </c>
      <c r="C128" s="42"/>
      <c r="D128" s="42"/>
      <c r="E128" s="85">
        <f>E127-E126</f>
        <v>104</v>
      </c>
      <c r="F128" s="85">
        <f t="shared" ref="F128:K128" si="68">F127-F126</f>
        <v>79</v>
      </c>
      <c r="G128" s="85">
        <f t="shared" si="68"/>
        <v>135.34815871198646</v>
      </c>
      <c r="H128" s="85">
        <f t="shared" si="68"/>
        <v>309.59294927637006</v>
      </c>
      <c r="I128" s="85">
        <f t="shared" si="68"/>
        <v>159.11687357927406</v>
      </c>
      <c r="J128" s="85">
        <f t="shared" si="68"/>
        <v>159.26998905401376</v>
      </c>
      <c r="K128" s="85">
        <f t="shared" si="68"/>
        <v>167.48236799319409</v>
      </c>
      <c r="L128" s="52"/>
      <c r="M128" s="52" t="s">
        <v>265</v>
      </c>
      <c r="N128" s="42"/>
      <c r="O128" s="42"/>
      <c r="P128" s="42"/>
      <c r="Q128" s="42"/>
      <c r="R128" s="42"/>
    </row>
    <row r="129" spans="2:18" s="2" customFormat="1" outlineLevel="1" x14ac:dyDescent="0.3">
      <c r="B129" s="44"/>
      <c r="C129" s="44"/>
      <c r="D129" s="44"/>
      <c r="E129" s="66"/>
      <c r="F129" s="66"/>
      <c r="G129" s="66"/>
      <c r="H129" s="66"/>
      <c r="I129" s="66"/>
      <c r="J129" s="66"/>
      <c r="K129" s="66"/>
      <c r="L129" s="53"/>
      <c r="M129" s="53"/>
      <c r="N129" s="44"/>
      <c r="O129" s="44"/>
      <c r="P129" s="44"/>
      <c r="Q129" s="44"/>
      <c r="R129" s="44"/>
    </row>
    <row r="130" spans="2:18" outlineLevel="1" x14ac:dyDescent="0.3">
      <c r="B130" s="42" t="s">
        <v>74</v>
      </c>
      <c r="C130" s="42"/>
      <c r="D130" s="42"/>
      <c r="E130" s="46">
        <f>E26+E41+E44+E47+E49</f>
        <v>644</v>
      </c>
      <c r="F130" s="46">
        <f>F26+F41+F44+F47+F49</f>
        <v>626</v>
      </c>
      <c r="G130" s="46">
        <f t="shared" ref="G130:K130" si="69">G126+G128</f>
        <v>671.81619126130147</v>
      </c>
      <c r="H130" s="46">
        <f t="shared" si="69"/>
        <v>857.93002364486313</v>
      </c>
      <c r="I130" s="46">
        <f t="shared" si="69"/>
        <v>825.49920270897258</v>
      </c>
      <c r="J130" s="46">
        <f t="shared" si="69"/>
        <v>830.87888678789864</v>
      </c>
      <c r="K130" s="46">
        <f t="shared" si="69"/>
        <v>840.32151956775658</v>
      </c>
      <c r="L130" s="52"/>
      <c r="M130" s="52" t="s">
        <v>61</v>
      </c>
      <c r="N130" s="52"/>
      <c r="O130" s="52"/>
      <c r="P130" s="42"/>
      <c r="Q130" s="42"/>
      <c r="R130" s="42"/>
    </row>
    <row r="131" spans="2:18" outlineLevel="1" x14ac:dyDescent="0.3">
      <c r="B131" s="42" t="s">
        <v>75</v>
      </c>
      <c r="C131" s="42"/>
      <c r="D131" s="42"/>
      <c r="E131" s="46">
        <f t="shared" ref="E131:K131" si="70">E55+E63+E98+E110+E112+E118+E122</f>
        <v>644</v>
      </c>
      <c r="F131" s="46">
        <f t="shared" si="70"/>
        <v>626</v>
      </c>
      <c r="G131" s="46">
        <f t="shared" si="70"/>
        <v>671.81619126130147</v>
      </c>
      <c r="H131" s="46">
        <f t="shared" si="70"/>
        <v>857.93002364486313</v>
      </c>
      <c r="I131" s="46">
        <f t="shared" si="70"/>
        <v>825.49920270897258</v>
      </c>
      <c r="J131" s="46">
        <f t="shared" si="70"/>
        <v>830.87888678789864</v>
      </c>
      <c r="K131" s="46">
        <f t="shared" si="70"/>
        <v>840.32151956775658</v>
      </c>
      <c r="L131" s="52"/>
      <c r="M131" s="52" t="s">
        <v>61</v>
      </c>
      <c r="N131" s="52"/>
      <c r="O131" s="52"/>
      <c r="P131" s="42"/>
      <c r="Q131" s="42"/>
      <c r="R131" s="42"/>
    </row>
    <row r="132" spans="2:18" s="191" customFormat="1" outlineLevel="1" x14ac:dyDescent="0.3">
      <c r="B132" s="95" t="s">
        <v>76</v>
      </c>
      <c r="C132" s="95"/>
      <c r="D132" s="95"/>
      <c r="E132" s="190">
        <f>E130-E131</f>
        <v>0</v>
      </c>
      <c r="F132" s="190">
        <f t="shared" ref="F132:K132" si="71">F130-F131</f>
        <v>0</v>
      </c>
      <c r="G132" s="190">
        <f t="shared" si="71"/>
        <v>0</v>
      </c>
      <c r="H132" s="190">
        <f t="shared" si="71"/>
        <v>0</v>
      </c>
      <c r="I132" s="190">
        <f t="shared" si="71"/>
        <v>0</v>
      </c>
      <c r="J132" s="190">
        <f t="shared" si="71"/>
        <v>0</v>
      </c>
      <c r="K132" s="190">
        <f t="shared" si="71"/>
        <v>0</v>
      </c>
      <c r="L132" s="100"/>
      <c r="M132" s="100" t="s">
        <v>80</v>
      </c>
      <c r="N132" s="100"/>
      <c r="O132" s="100"/>
      <c r="P132" s="95"/>
      <c r="Q132" s="95"/>
      <c r="R132" s="95"/>
    </row>
    <row r="133" spans="2:18" outlineLevel="1" x14ac:dyDescent="0.3">
      <c r="B133" s="42"/>
      <c r="C133" s="42"/>
      <c r="D133" s="42"/>
      <c r="E133" s="42"/>
      <c r="F133" s="42"/>
      <c r="G133" s="42"/>
      <c r="H133" s="42"/>
      <c r="I133" s="42"/>
      <c r="J133" s="42"/>
      <c r="K133" s="42"/>
      <c r="L133" s="52"/>
      <c r="M133" s="52"/>
      <c r="N133" s="52"/>
      <c r="O133" s="52"/>
      <c r="P133" s="42"/>
      <c r="Q133" s="42"/>
      <c r="R133" s="42"/>
    </row>
    <row r="134" spans="2:18" outlineLevel="1" x14ac:dyDescent="0.3">
      <c r="B134" s="42" t="s">
        <v>77</v>
      </c>
      <c r="C134" s="42"/>
      <c r="D134" s="42"/>
      <c r="E134" s="93">
        <f>Balans!E16</f>
        <v>644</v>
      </c>
      <c r="F134" s="93">
        <f>Balans!F16</f>
        <v>626</v>
      </c>
      <c r="G134" s="93">
        <f>Balans!G16</f>
        <v>671.81619126130147</v>
      </c>
      <c r="H134" s="93">
        <f>Balans!H16</f>
        <v>857.93002364486313</v>
      </c>
      <c r="I134" s="93">
        <f>Balans!I16</f>
        <v>825.49920270897269</v>
      </c>
      <c r="J134" s="93">
        <f>Balans!J16</f>
        <v>830.87888678789864</v>
      </c>
      <c r="K134" s="93">
        <f>Balans!K16</f>
        <v>840.3215195677567</v>
      </c>
      <c r="L134" s="52"/>
      <c r="M134" s="52" t="s">
        <v>70</v>
      </c>
      <c r="N134" s="42"/>
      <c r="O134" s="42"/>
      <c r="P134" s="42"/>
      <c r="Q134" s="42"/>
      <c r="R134" s="42"/>
    </row>
    <row r="135" spans="2:18" outlineLevel="1" x14ac:dyDescent="0.3">
      <c r="B135" s="42" t="s">
        <v>78</v>
      </c>
      <c r="C135" s="42"/>
      <c r="D135" s="42"/>
      <c r="E135" s="93">
        <f>Balans!E30</f>
        <v>644</v>
      </c>
      <c r="F135" s="93">
        <f>Balans!F30</f>
        <v>626</v>
      </c>
      <c r="G135" s="93">
        <f>Balans!G30</f>
        <v>671.81619126130147</v>
      </c>
      <c r="H135" s="93">
        <f>Balans!H30</f>
        <v>857.93002364486301</v>
      </c>
      <c r="I135" s="93">
        <f>Balans!I30</f>
        <v>825.49920270897269</v>
      </c>
      <c r="J135" s="93">
        <f>Balans!J30</f>
        <v>830.87888678789864</v>
      </c>
      <c r="K135" s="93">
        <f>Balans!K30</f>
        <v>840.32151956775658</v>
      </c>
      <c r="L135" s="52"/>
      <c r="M135" s="52" t="s">
        <v>70</v>
      </c>
      <c r="N135" s="42"/>
      <c r="O135" s="42"/>
      <c r="P135" s="42"/>
      <c r="Q135" s="42"/>
      <c r="R135" s="42"/>
    </row>
    <row r="136" spans="2:18" s="191" customFormat="1" outlineLevel="1" x14ac:dyDescent="0.3">
      <c r="B136" s="95" t="s">
        <v>79</v>
      </c>
      <c r="C136" s="95"/>
      <c r="D136" s="95"/>
      <c r="E136" s="190">
        <f>E130-E134+E131-E135</f>
        <v>0</v>
      </c>
      <c r="F136" s="190">
        <f t="shared" ref="F136:K136" si="72">F130-F134+F131-F135</f>
        <v>0</v>
      </c>
      <c r="G136" s="190">
        <f t="shared" si="72"/>
        <v>0</v>
      </c>
      <c r="H136" s="190">
        <f t="shared" si="72"/>
        <v>0</v>
      </c>
      <c r="I136" s="190">
        <f t="shared" si="72"/>
        <v>0</v>
      </c>
      <c r="J136" s="190">
        <f t="shared" si="72"/>
        <v>0</v>
      </c>
      <c r="K136" s="190">
        <f t="shared" si="72"/>
        <v>0</v>
      </c>
      <c r="L136" s="100"/>
      <c r="M136" s="100" t="s">
        <v>81</v>
      </c>
      <c r="N136" s="95"/>
      <c r="O136" s="95"/>
      <c r="P136" s="95"/>
      <c r="Q136" s="95"/>
      <c r="R136" s="95"/>
    </row>
    <row r="137" spans="2:18" s="191" customFormat="1" outlineLevel="1" x14ac:dyDescent="0.3">
      <c r="B137" s="95" t="s">
        <v>16</v>
      </c>
      <c r="C137" s="95"/>
      <c r="D137" s="95"/>
      <c r="E137" s="190">
        <f>ABS(E132)+ABS(E136)</f>
        <v>0</v>
      </c>
      <c r="F137" s="190">
        <f t="shared" ref="F137:K137" si="73">ABS(F132)+ABS(F136)</f>
        <v>0</v>
      </c>
      <c r="G137" s="190">
        <f t="shared" si="73"/>
        <v>0</v>
      </c>
      <c r="H137" s="190">
        <f t="shared" si="73"/>
        <v>0</v>
      </c>
      <c r="I137" s="190">
        <f t="shared" si="73"/>
        <v>0</v>
      </c>
      <c r="J137" s="190">
        <f t="shared" si="73"/>
        <v>0</v>
      </c>
      <c r="K137" s="190">
        <f t="shared" si="73"/>
        <v>0</v>
      </c>
      <c r="L137" s="100"/>
      <c r="M137" s="100" t="s">
        <v>82</v>
      </c>
      <c r="N137" s="95"/>
      <c r="O137" s="95"/>
      <c r="P137" s="95"/>
      <c r="Q137" s="95"/>
      <c r="R137" s="95"/>
    </row>
    <row r="138" spans="2:18" x14ac:dyDescent="0.3">
      <c r="B138" s="42"/>
      <c r="C138" s="42"/>
      <c r="D138" s="42"/>
      <c r="E138" s="42"/>
      <c r="F138" s="42"/>
      <c r="G138" s="42"/>
      <c r="H138" s="42"/>
      <c r="I138" s="42"/>
      <c r="J138" s="42"/>
      <c r="K138" s="42"/>
      <c r="L138" s="52"/>
      <c r="M138" s="52"/>
      <c r="N138" s="42"/>
      <c r="O138" s="42"/>
      <c r="P138" s="42"/>
      <c r="Q138" s="42"/>
      <c r="R138" s="42"/>
    </row>
    <row r="139" spans="2:18" x14ac:dyDescent="0.3">
      <c r="B139" s="42"/>
      <c r="C139" s="42"/>
      <c r="D139" s="42"/>
      <c r="E139" s="42"/>
      <c r="F139" s="42"/>
      <c r="G139" s="42"/>
      <c r="H139" s="42"/>
      <c r="I139" s="42"/>
      <c r="J139" s="42"/>
      <c r="K139" s="42"/>
      <c r="L139" s="52"/>
      <c r="M139" s="52"/>
      <c r="N139" s="42"/>
      <c r="O139" s="42"/>
      <c r="P139" s="42"/>
      <c r="Q139" s="42"/>
      <c r="R139" s="42"/>
    </row>
    <row r="140" spans="2:18" x14ac:dyDescent="0.3">
      <c r="B140" s="42"/>
      <c r="C140" s="42"/>
      <c r="D140" s="42"/>
      <c r="E140" s="42"/>
      <c r="F140" s="42"/>
      <c r="G140" s="42"/>
      <c r="H140" s="42"/>
      <c r="I140" s="42"/>
      <c r="J140" s="42"/>
      <c r="K140" s="42"/>
      <c r="L140" s="52"/>
      <c r="M140" s="52"/>
      <c r="N140" s="42"/>
      <c r="O140" s="42"/>
      <c r="P140" s="42"/>
      <c r="Q140" s="42"/>
      <c r="R140" s="42"/>
    </row>
    <row r="141" spans="2:18" x14ac:dyDescent="0.3">
      <c r="B141" s="42"/>
      <c r="C141" s="42"/>
      <c r="D141" s="42"/>
      <c r="E141" s="146"/>
      <c r="F141" s="42"/>
      <c r="G141" s="42"/>
      <c r="H141" s="42"/>
      <c r="I141" s="42"/>
      <c r="J141" s="42"/>
      <c r="K141" s="42"/>
      <c r="L141" s="52"/>
      <c r="M141" s="52"/>
      <c r="N141" s="42"/>
      <c r="O141" s="42"/>
      <c r="P141" s="42"/>
      <c r="Q141" s="42"/>
      <c r="R141" s="42"/>
    </row>
    <row r="142" spans="2:18" x14ac:dyDescent="0.3">
      <c r="B142" s="42"/>
      <c r="C142" s="42"/>
      <c r="D142" s="42"/>
      <c r="E142" s="42"/>
      <c r="F142" s="42"/>
      <c r="G142" s="42"/>
      <c r="H142" s="42"/>
      <c r="I142" s="42"/>
      <c r="J142" s="42"/>
      <c r="K142" s="42"/>
      <c r="L142" s="52"/>
      <c r="M142" s="52"/>
      <c r="N142" s="42"/>
      <c r="O142" s="42"/>
      <c r="P142" s="42"/>
      <c r="Q142" s="42"/>
      <c r="R142" s="42"/>
    </row>
    <row r="143" spans="2:18" x14ac:dyDescent="0.3">
      <c r="B143" s="42"/>
      <c r="C143" s="42"/>
      <c r="D143" s="42"/>
      <c r="E143" s="42"/>
      <c r="F143" s="42"/>
      <c r="G143" s="42"/>
      <c r="H143" s="42"/>
      <c r="I143" s="42"/>
      <c r="J143" s="42"/>
      <c r="K143" s="42"/>
      <c r="L143" s="52"/>
      <c r="M143" s="52"/>
      <c r="N143" s="42"/>
      <c r="O143" s="42"/>
      <c r="P143" s="42"/>
      <c r="Q143" s="42"/>
      <c r="R143" s="42"/>
    </row>
  </sheetData>
  <conditionalFormatting sqref="E27:F27">
    <cfRule type="cellIs" dxfId="9" priority="9" operator="notEqual">
      <formula>E26</formula>
    </cfRule>
  </conditionalFormatting>
  <conditionalFormatting sqref="E4:K4">
    <cfRule type="expression" dxfId="8" priority="20">
      <formula>E4="CHECK"</formula>
    </cfRule>
  </conditionalFormatting>
  <conditionalFormatting sqref="E132:K132 E136:K137">
    <cfRule type="expression" dxfId="7" priority="21">
      <formula>E132&lt;&gt;0</formula>
    </cfRule>
  </conditionalFormatting>
  <conditionalFormatting sqref="F64">
    <cfRule type="cellIs" dxfId="6" priority="4" operator="notEqual">
      <formula>0</formula>
    </cfRule>
  </conditionalFormatting>
  <conditionalFormatting sqref="F74">
    <cfRule type="cellIs" dxfId="5" priority="3" operator="notEqual">
      <formula>0</formula>
    </cfRule>
  </conditionalFormatting>
  <conditionalFormatting sqref="F78 F103:F105 F104:K104 F107 F115">
    <cfRule type="expression" dxfId="4" priority="34">
      <formula>ROUND(#REF!,0)&lt;&gt;ROUND(#REF!,0)</formula>
    </cfRule>
  </conditionalFormatting>
  <conditionalFormatting sqref="F90">
    <cfRule type="expression" dxfId="3" priority="5">
      <formula>ROUND(#REF!,0)&lt;&gt;ROUND(#REF!,0)</formula>
    </cfRule>
  </conditionalFormatting>
  <conditionalFormatting sqref="F101:K102">
    <cfRule type="expression" dxfId="2" priority="13">
      <formula>ROUND(#REF!,0)&lt;&gt;ROUND(#REF!,0)</formula>
    </cfRule>
  </conditionalFormatting>
  <conditionalFormatting sqref="G2">
    <cfRule type="cellIs" dxfId="1" priority="1" operator="notEqual">
      <formula>0</formula>
    </cfRule>
    <cfRule type="cellIs" dxfId="0" priority="2" operator="equal">
      <formula>0</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Bepalingen</vt:lpstr>
      <vt:lpstr>Modeltoelichting</vt:lpstr>
      <vt:lpstr>Afkortingen</vt:lpstr>
      <vt:lpstr>OUTPUT-&gt;</vt:lpstr>
      <vt:lpstr>ErrorChecks</vt:lpstr>
      <vt:lpstr>Dashboard</vt:lpstr>
      <vt:lpstr>RR</vt:lpstr>
      <vt:lpstr>Balans</vt:lpstr>
      <vt:lpstr>Kasstroomoverzicht</vt:lpstr>
      <vt:lpstr>Ratios</vt:lpstr>
      <vt:lpstr>INVOER-&gt;</vt:lpstr>
      <vt:lpstr>1. Realisatie RR en BS</vt:lpstr>
      <vt:lpstr>2. Prognose RR</vt:lpstr>
      <vt:lpstr>3. Prognose BS</vt:lpstr>
      <vt:lpstr>Balans!Print_Area</vt:lpstr>
      <vt:lpstr>Dashboard!Print_Area</vt:lpstr>
      <vt:lpstr>Kasstroomoverzicht!Print_Area</vt:lpstr>
      <vt:lpstr>Ratios!Print_Area</vt:lpstr>
      <vt:lpstr>RR!Print_Area</vt:lpstr>
    </vt:vector>
  </TitlesOfParts>
  <Company>KnowYourFinance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KnowYourFinance</dc:creator>
  <cp:lastModifiedBy>Sieuwerd Tiemersma</cp:lastModifiedBy>
  <cp:lastPrinted>2019-10-22T17:50:23Z</cp:lastPrinted>
  <dcterms:created xsi:type="dcterms:W3CDTF">2017-10-27T13:57:08Z</dcterms:created>
  <dcterms:modified xsi:type="dcterms:W3CDTF">2026-05-14T10:50:26Z</dcterms:modified>
</cp:coreProperties>
</file>