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stiem\OneDrive\Documents\_KnowYourFinance\Modellen\Meerjaren_compleet\"/>
    </mc:Choice>
  </mc:AlternateContent>
  <xr:revisionPtr revIDLastSave="0" documentId="13_ncr:1_{265E56B9-39E3-497E-9E3B-073F0CFEC106}" xr6:coauthVersionLast="47" xr6:coauthVersionMax="47" xr10:uidLastSave="{00000000-0000-0000-0000-000000000000}"/>
  <bookViews>
    <workbookView xWindow="-108" yWindow="-108" windowWidth="23256" windowHeight="12456" activeTab="5" xr2:uid="{00000000-000D-0000-FFFF-FFFF00000000}"/>
  </bookViews>
  <sheets>
    <sheet name="Bepalingen" sheetId="23" r:id="rId1"/>
    <sheet name="Modeltoelichting" sheetId="4" r:id="rId2"/>
    <sheet name="Afkortingen" sheetId="22" r:id="rId3"/>
    <sheet name="OUTPUT-&gt;" sheetId="21" r:id="rId4"/>
    <sheet name="ErrorChecks" sheetId="24" r:id="rId5"/>
    <sheet name="Dashboard" sheetId="19" r:id="rId6"/>
    <sheet name="RR" sheetId="1" r:id="rId7"/>
    <sheet name="Balans" sheetId="7" r:id="rId8"/>
    <sheet name="Kasstroomoverzicht" sheetId="17" r:id="rId9"/>
    <sheet name="Ratios" sheetId="18" r:id="rId10"/>
    <sheet name="INVOER-&gt;" sheetId="13" r:id="rId11"/>
    <sheet name="1. Realisatie RR en BS" sheetId="12" r:id="rId12"/>
    <sheet name="2. Prognose RR" sheetId="3" r:id="rId13"/>
    <sheet name="3. Prognose BS" sheetId="9" r:id="rId14"/>
  </sheets>
  <definedNames>
    <definedName name="_xlnm.Print_Area" localSheetId="7">Balans!$B$2:$K$31</definedName>
    <definedName name="_xlnm.Print_Area" localSheetId="5">Dashboard!$B$2:$T$33</definedName>
    <definedName name="_xlnm.Print_Area" localSheetId="8">Kasstroomoverzicht!$B$2:$K$42</definedName>
    <definedName name="_xlnm.Print_Area" localSheetId="9">Ratios!$B$2:$K$82</definedName>
    <definedName name="_xlnm.Print_Area" localSheetId="6">RR!$B$2:$K$34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 i="24" l="1"/>
  <c r="B21" i="24"/>
  <c r="B19" i="24"/>
  <c r="B18" i="24"/>
  <c r="K144" i="9"/>
  <c r="J144" i="9"/>
  <c r="I144" i="9"/>
  <c r="H144" i="9"/>
  <c r="G144" i="9"/>
  <c r="E144" i="9"/>
  <c r="F136" i="9"/>
  <c r="B16" i="24"/>
  <c r="F140" i="9"/>
  <c r="F141" i="9"/>
  <c r="F84" i="3"/>
  <c r="E84" i="3"/>
  <c r="B9" i="24"/>
  <c r="B8" i="24"/>
  <c r="B72" i="18"/>
  <c r="F41" i="3"/>
  <c r="F44" i="3" s="1"/>
  <c r="F14" i="1" s="1"/>
  <c r="E41" i="3"/>
  <c r="E44" i="3" s="1"/>
  <c r="E14" i="1" s="1"/>
  <c r="F36" i="3"/>
  <c r="E36" i="3"/>
  <c r="F21" i="12"/>
  <c r="E21" i="12"/>
  <c r="B19" i="12"/>
  <c r="B17" i="12"/>
  <c r="B21" i="12"/>
  <c r="F19" i="12"/>
  <c r="E19" i="12"/>
  <c r="E9" i="12"/>
  <c r="F142" i="9" l="1"/>
  <c r="K94" i="9" l="1"/>
  <c r="J94" i="9"/>
  <c r="I94" i="9"/>
  <c r="H94" i="9"/>
  <c r="G94" i="9"/>
  <c r="F94" i="9"/>
  <c r="E94" i="9"/>
  <c r="K93" i="9"/>
  <c r="K24" i="7" s="1"/>
  <c r="J93" i="9"/>
  <c r="J24" i="7" s="1"/>
  <c r="I93" i="9"/>
  <c r="I24" i="7" s="1"/>
  <c r="H93" i="9"/>
  <c r="H24" i="7" s="1"/>
  <c r="G93" i="9"/>
  <c r="G24" i="7" s="1"/>
  <c r="K92" i="9"/>
  <c r="J92" i="9"/>
  <c r="I92" i="9"/>
  <c r="H92" i="9"/>
  <c r="G92" i="9"/>
  <c r="F92" i="9"/>
  <c r="E92" i="9"/>
  <c r="G79" i="9"/>
  <c r="F112" i="9"/>
  <c r="F60" i="3" s="1"/>
  <c r="E112" i="9"/>
  <c r="E60" i="3" s="1"/>
  <c r="F76" i="9"/>
  <c r="F103" i="9" s="1"/>
  <c r="E76" i="9"/>
  <c r="E103" i="9" s="1"/>
  <c r="F69" i="9"/>
  <c r="F93" i="9" s="1"/>
  <c r="F24" i="7" s="1"/>
  <c r="E69" i="9"/>
  <c r="E93" i="9" s="1"/>
  <c r="E24" i="7" s="1"/>
  <c r="E71" i="9"/>
  <c r="F67" i="9" s="1"/>
  <c r="F91" i="9" s="1"/>
  <c r="K108" i="9" l="1"/>
  <c r="H108" i="9"/>
  <c r="I108" i="9"/>
  <c r="J108" i="9"/>
  <c r="F108" i="9"/>
  <c r="E108" i="9"/>
  <c r="G108" i="9"/>
  <c r="F95" i="9"/>
  <c r="G83" i="9"/>
  <c r="H79" i="9" s="1"/>
  <c r="H83" i="9" s="1"/>
  <c r="E73" i="9"/>
  <c r="E98" i="9" s="1"/>
  <c r="F71" i="9"/>
  <c r="E67" i="9"/>
  <c r="E91" i="9" s="1"/>
  <c r="E95" i="9" s="1"/>
  <c r="K28" i="1"/>
  <c r="J28" i="1"/>
  <c r="I28" i="1"/>
  <c r="H28" i="1"/>
  <c r="G28" i="1"/>
  <c r="E5" i="1"/>
  <c r="G85" i="9" l="1"/>
  <c r="I79" i="9"/>
  <c r="I83" i="9" s="1"/>
  <c r="H85" i="9"/>
  <c r="G67" i="9"/>
  <c r="F73" i="9"/>
  <c r="F98" i="9" s="1"/>
  <c r="F9" i="12"/>
  <c r="G88" i="9" l="1"/>
  <c r="G86" i="9"/>
  <c r="H86" i="9"/>
  <c r="F74" i="9"/>
  <c r="F99" i="9" s="1"/>
  <c r="G71" i="9"/>
  <c r="G73" i="9" s="1"/>
  <c r="G98" i="9" s="1"/>
  <c r="G91" i="9"/>
  <c r="G95" i="9" s="1"/>
  <c r="I85" i="9"/>
  <c r="I88" i="9" s="1"/>
  <c r="J79" i="9"/>
  <c r="J83" i="9" s="1"/>
  <c r="H88" i="9"/>
  <c r="F75" i="9"/>
  <c r="F5" i="1"/>
  <c r="G9" i="12"/>
  <c r="H67" i="9" l="1"/>
  <c r="H71" i="9" s="1"/>
  <c r="H73" i="9" s="1"/>
  <c r="H98" i="9" s="1"/>
  <c r="I86" i="9"/>
  <c r="G76" i="9"/>
  <c r="G103" i="9" s="1"/>
  <c r="G102" i="9" s="1"/>
  <c r="G74" i="9"/>
  <c r="G99" i="9" s="1"/>
  <c r="J85" i="9"/>
  <c r="K79" i="9"/>
  <c r="K83" i="9" s="1"/>
  <c r="K85" i="9" s="1"/>
  <c r="G5" i="1"/>
  <c r="H9" i="12"/>
  <c r="G35" i="12"/>
  <c r="H91" i="9" l="1"/>
  <c r="H95" i="9" s="1"/>
  <c r="I67" i="9"/>
  <c r="I71" i="9" s="1"/>
  <c r="H76" i="9"/>
  <c r="H103" i="9" s="1"/>
  <c r="H102" i="9" s="1"/>
  <c r="H74" i="9"/>
  <c r="H99" i="9" s="1"/>
  <c r="K86" i="9"/>
  <c r="J86" i="9"/>
  <c r="K88" i="9"/>
  <c r="J88" i="9"/>
  <c r="I9" i="12"/>
  <c r="H35" i="12"/>
  <c r="H5" i="1"/>
  <c r="J67" i="9" l="1"/>
  <c r="J71" i="9" s="1"/>
  <c r="J73" i="9" s="1"/>
  <c r="J98" i="9" s="1"/>
  <c r="I73" i="9"/>
  <c r="I91" i="9"/>
  <c r="I95" i="9" s="1"/>
  <c r="J9" i="12"/>
  <c r="I5" i="1"/>
  <c r="I35" i="12"/>
  <c r="I74" i="9" l="1"/>
  <c r="I99" i="9" s="1"/>
  <c r="I98" i="9"/>
  <c r="I76" i="9"/>
  <c r="I103" i="9" s="1"/>
  <c r="J91" i="9"/>
  <c r="J95" i="9" s="1"/>
  <c r="J76" i="9"/>
  <c r="J103" i="9" s="1"/>
  <c r="J74" i="9"/>
  <c r="J99" i="9" s="1"/>
  <c r="K67" i="9"/>
  <c r="K9" i="12"/>
  <c r="J35" i="12"/>
  <c r="J5" i="1"/>
  <c r="J102" i="9" l="1"/>
  <c r="I102" i="9"/>
  <c r="K71" i="9"/>
  <c r="K73" i="9" s="1"/>
  <c r="K98" i="9" s="1"/>
  <c r="K91" i="9"/>
  <c r="K95" i="9" s="1"/>
  <c r="K35" i="12"/>
  <c r="K5" i="1"/>
  <c r="K74" i="9" l="1"/>
  <c r="K99" i="9" s="1"/>
  <c r="K76" i="9"/>
  <c r="K103" i="9" s="1"/>
  <c r="K102" i="9" s="1"/>
  <c r="F47" i="9"/>
  <c r="F13" i="7" s="1"/>
  <c r="E47" i="9"/>
  <c r="E13" i="7" s="1"/>
  <c r="F27" i="9"/>
  <c r="E27" i="9" l="1"/>
  <c r="K25" i="9"/>
  <c r="K87" i="3" s="1"/>
  <c r="J25" i="9"/>
  <c r="J87" i="3" s="1"/>
  <c r="I25" i="9"/>
  <c r="I87" i="3" s="1"/>
  <c r="H25" i="9"/>
  <c r="H87" i="3" s="1"/>
  <c r="G25" i="9"/>
  <c r="G87" i="3" s="1"/>
  <c r="K24" i="9"/>
  <c r="K31" i="9" s="1"/>
  <c r="K32" i="9" s="1"/>
  <c r="J24" i="9"/>
  <c r="J31" i="9" s="1"/>
  <c r="J32" i="9" s="1"/>
  <c r="I24" i="9"/>
  <c r="I31" i="9" s="1"/>
  <c r="I32" i="9" s="1"/>
  <c r="H24" i="9"/>
  <c r="H31" i="9" s="1"/>
  <c r="H32" i="9" s="1"/>
  <c r="G24" i="9"/>
  <c r="G31" i="9" s="1"/>
  <c r="G32" i="9" s="1"/>
  <c r="F24" i="9"/>
  <c r="F31" i="9" s="1"/>
  <c r="K23" i="9"/>
  <c r="J23" i="9"/>
  <c r="I23" i="9"/>
  <c r="H23" i="9"/>
  <c r="G23" i="9"/>
  <c r="F23" i="9"/>
  <c r="E24" i="9"/>
  <c r="E31" i="9" s="1"/>
  <c r="E23" i="9"/>
  <c r="E12" i="9"/>
  <c r="F8" i="9" s="1"/>
  <c r="F11" i="9"/>
  <c r="F25" i="9" s="1"/>
  <c r="F87" i="3" s="1"/>
  <c r="E11" i="9"/>
  <c r="E25" i="9" s="1"/>
  <c r="E87" i="3" s="1"/>
  <c r="G15" i="9"/>
  <c r="G19" i="9" s="1"/>
  <c r="H15" i="9" s="1"/>
  <c r="H19" i="9" s="1"/>
  <c r="I15" i="9" s="1"/>
  <c r="I19" i="9" s="1"/>
  <c r="J15" i="9" s="1"/>
  <c r="J19" i="9" s="1"/>
  <c r="K15" i="9" s="1"/>
  <c r="K19" i="9" s="1"/>
  <c r="F12" i="9" l="1"/>
  <c r="G8" i="9" s="1"/>
  <c r="G12" i="9" s="1"/>
  <c r="H8" i="9" s="1"/>
  <c r="H12" i="9" s="1"/>
  <c r="I8" i="9" s="1"/>
  <c r="I12" i="9" s="1"/>
  <c r="J8" i="9" s="1"/>
  <c r="J12" i="9" s="1"/>
  <c r="K8" i="9" s="1"/>
  <c r="K12" i="9" s="1"/>
  <c r="E8" i="9"/>
  <c r="AI3" i="19"/>
  <c r="E22" i="9" l="1"/>
  <c r="E26" i="9" s="1"/>
  <c r="F70" i="12"/>
  <c r="B118" i="9" l="1"/>
  <c r="B36" i="9"/>
  <c r="F17" i="3"/>
  <c r="F15" i="3" s="1"/>
  <c r="E17" i="3"/>
  <c r="E15" i="3" s="1"/>
  <c r="B17" i="3"/>
  <c r="F11" i="3"/>
  <c r="F118" i="9" s="1"/>
  <c r="E11" i="3"/>
  <c r="E118" i="9" s="1"/>
  <c r="B30" i="3"/>
  <c r="E7" i="1" l="1"/>
  <c r="AI8" i="19" s="1"/>
  <c r="E36" i="9"/>
  <c r="F7" i="1"/>
  <c r="AJ8" i="19" s="1"/>
  <c r="F36" i="9"/>
  <c r="E19" i="3"/>
  <c r="F19" i="3"/>
  <c r="E9" i="3"/>
  <c r="E8" i="1"/>
  <c r="AI9" i="19" s="1"/>
  <c r="F8" i="1"/>
  <c r="AJ9" i="19" s="1"/>
  <c r="F9" i="3"/>
  <c r="B55" i="18" l="1"/>
  <c r="B54" i="18"/>
  <c r="B52" i="18"/>
  <c r="B51" i="18"/>
  <c r="B50" i="18"/>
  <c r="B49" i="18"/>
  <c r="B48" i="18"/>
  <c r="B46" i="18"/>
  <c r="B41" i="18"/>
  <c r="B44" i="18"/>
  <c r="B43" i="18"/>
  <c r="B42" i="18"/>
  <c r="B40" i="18"/>
  <c r="B38" i="18"/>
  <c r="B37" i="18"/>
  <c r="B36" i="18"/>
  <c r="K12" i="18"/>
  <c r="J12" i="18"/>
  <c r="I12" i="18"/>
  <c r="H12" i="18"/>
  <c r="G12" i="18"/>
  <c r="F12" i="18"/>
  <c r="E12" i="18"/>
  <c r="F10" i="18"/>
  <c r="E10" i="18"/>
  <c r="K9" i="18"/>
  <c r="J9" i="18"/>
  <c r="I9" i="18"/>
  <c r="H9" i="18"/>
  <c r="G9" i="18"/>
  <c r="F9" i="18"/>
  <c r="E9" i="18"/>
  <c r="K32" i="17" l="1"/>
  <c r="J32" i="17"/>
  <c r="I32" i="17"/>
  <c r="H32" i="17"/>
  <c r="G32" i="17"/>
  <c r="F32" i="17"/>
  <c r="F96" i="9"/>
  <c r="E22" i="7" l="1"/>
  <c r="K28" i="17"/>
  <c r="J28" i="17"/>
  <c r="I28" i="17"/>
  <c r="H28" i="17"/>
  <c r="G28" i="17"/>
  <c r="K27" i="17"/>
  <c r="J27" i="17"/>
  <c r="I27" i="17"/>
  <c r="H27" i="17"/>
  <c r="G27" i="17"/>
  <c r="F27" i="17"/>
  <c r="K24" i="17"/>
  <c r="J24" i="17"/>
  <c r="I24" i="17"/>
  <c r="H24" i="17"/>
  <c r="G24" i="17"/>
  <c r="K12" i="17"/>
  <c r="J12" i="17"/>
  <c r="I12" i="17"/>
  <c r="H12" i="17"/>
  <c r="G12" i="17"/>
  <c r="F12" i="17"/>
  <c r="F24" i="17"/>
  <c r="K11" i="17"/>
  <c r="J11" i="17"/>
  <c r="I11" i="17"/>
  <c r="H11" i="17"/>
  <c r="G11" i="17"/>
  <c r="F11" i="17"/>
  <c r="K34" i="3"/>
  <c r="K88" i="3" s="1"/>
  <c r="K89" i="3" s="1"/>
  <c r="J34" i="3"/>
  <c r="J88" i="3" s="1"/>
  <c r="J89" i="3" s="1"/>
  <c r="I34" i="3"/>
  <c r="I88" i="3" s="1"/>
  <c r="I89" i="3" s="1"/>
  <c r="H34" i="3"/>
  <c r="H88" i="3" s="1"/>
  <c r="H89" i="3" s="1"/>
  <c r="G34" i="3"/>
  <c r="G88" i="3" s="1"/>
  <c r="G89" i="3" s="1"/>
  <c r="F22" i="9"/>
  <c r="F26" i="9" s="1"/>
  <c r="E5" i="7"/>
  <c r="F34" i="3"/>
  <c r="F88" i="3" s="1"/>
  <c r="F89" i="3" s="1"/>
  <c r="E34" i="3"/>
  <c r="E88" i="3" s="1"/>
  <c r="E89" i="3" s="1"/>
  <c r="B13" i="24" s="1"/>
  <c r="F22" i="7" l="1"/>
  <c r="F7" i="7"/>
  <c r="E7" i="7"/>
  <c r="F62" i="9"/>
  <c r="F30" i="3"/>
  <c r="E30" i="3"/>
  <c r="E61" i="9"/>
  <c r="F57" i="9" s="1"/>
  <c r="F61" i="9" s="1"/>
  <c r="F137" i="9" s="1"/>
  <c r="F110" i="9"/>
  <c r="E110" i="9"/>
  <c r="E59" i="3"/>
  <c r="E61" i="3" s="1"/>
  <c r="F59" i="3"/>
  <c r="F61" i="3" s="1"/>
  <c r="E53" i="9"/>
  <c r="K30" i="1"/>
  <c r="J30" i="1"/>
  <c r="I30" i="1"/>
  <c r="H30" i="1"/>
  <c r="G30" i="1"/>
  <c r="F30" i="1"/>
  <c r="E30" i="1"/>
  <c r="K21" i="1"/>
  <c r="J21" i="1"/>
  <c r="I21" i="1"/>
  <c r="H21" i="1"/>
  <c r="G21" i="1"/>
  <c r="F53" i="3"/>
  <c r="F19" i="1" s="1"/>
  <c r="E53" i="3"/>
  <c r="E19" i="1" s="1"/>
  <c r="K19" i="1"/>
  <c r="J19" i="1"/>
  <c r="I19" i="1"/>
  <c r="H19" i="1"/>
  <c r="G19" i="1"/>
  <c r="F39" i="3"/>
  <c r="E39" i="3"/>
  <c r="K37" i="3"/>
  <c r="J37" i="3"/>
  <c r="I37" i="3"/>
  <c r="H37" i="3"/>
  <c r="G37" i="3"/>
  <c r="K42" i="3"/>
  <c r="J42" i="3"/>
  <c r="I42" i="3"/>
  <c r="H42" i="3"/>
  <c r="G42" i="3"/>
  <c r="F138" i="9" l="1"/>
  <c r="B15" i="24" s="1"/>
  <c r="F13" i="1"/>
  <c r="F46" i="3"/>
  <c r="F47" i="3" s="1"/>
  <c r="F49" i="3" s="1"/>
  <c r="E46" i="3"/>
  <c r="E47" i="3" s="1"/>
  <c r="E49" i="3" s="1"/>
  <c r="E13" i="1"/>
  <c r="E114" i="9"/>
  <c r="F114" i="9"/>
  <c r="F11" i="1"/>
  <c r="F27" i="3"/>
  <c r="E11" i="1"/>
  <c r="E27" i="3"/>
  <c r="F102" i="9"/>
  <c r="G22" i="9"/>
  <c r="G22" i="7"/>
  <c r="G57" i="9"/>
  <c r="G61" i="9" s="1"/>
  <c r="G20" i="7" s="1"/>
  <c r="F20" i="7"/>
  <c r="E57" i="9"/>
  <c r="E20" i="7"/>
  <c r="G36" i="3"/>
  <c r="G39" i="3" s="1"/>
  <c r="F37" i="3"/>
  <c r="K14" i="3"/>
  <c r="J14" i="3"/>
  <c r="I14" i="3"/>
  <c r="H14" i="3"/>
  <c r="G14" i="3"/>
  <c r="F10" i="3"/>
  <c r="E5" i="3"/>
  <c r="E77" i="3" s="1"/>
  <c r="E35" i="12"/>
  <c r="G13" i="1" l="1"/>
  <c r="F14" i="18"/>
  <c r="E14" i="18"/>
  <c r="G26" i="9"/>
  <c r="F31" i="17"/>
  <c r="F100" i="9"/>
  <c r="AJ11" i="19"/>
  <c r="AI11" i="19"/>
  <c r="F42" i="3"/>
  <c r="E42" i="3"/>
  <c r="H22" i="7"/>
  <c r="H36" i="3"/>
  <c r="H39" i="3" s="1"/>
  <c r="E51" i="3"/>
  <c r="E69" i="3"/>
  <c r="E63" i="3"/>
  <c r="E21" i="3"/>
  <c r="E32" i="3"/>
  <c r="B51" i="12"/>
  <c r="B49" i="12"/>
  <c r="B23" i="12"/>
  <c r="B53" i="3" s="1"/>
  <c r="H13" i="1" l="1"/>
  <c r="G7" i="7"/>
  <c r="H22" i="9"/>
  <c r="G31" i="17"/>
  <c r="G100" i="9"/>
  <c r="G15" i="3"/>
  <c r="I22" i="7"/>
  <c r="I36" i="3"/>
  <c r="I39" i="3" s="1"/>
  <c r="F14" i="3"/>
  <c r="E5" i="9"/>
  <c r="E55" i="9" s="1"/>
  <c r="E5" i="18"/>
  <c r="I13" i="1" l="1"/>
  <c r="G17" i="3"/>
  <c r="G8" i="1" s="1"/>
  <c r="AK9" i="19" s="1"/>
  <c r="H26" i="9"/>
  <c r="H31" i="17"/>
  <c r="H100" i="9"/>
  <c r="H15" i="3"/>
  <c r="J22" i="7"/>
  <c r="J36" i="3"/>
  <c r="J39" i="3" s="1"/>
  <c r="J13" i="1" l="1"/>
  <c r="H17" i="3"/>
  <c r="H8" i="1" s="1"/>
  <c r="AL9" i="19" s="1"/>
  <c r="I22" i="9"/>
  <c r="I26" i="9" s="1"/>
  <c r="H7" i="7"/>
  <c r="I31" i="17"/>
  <c r="I100" i="9"/>
  <c r="I15" i="3"/>
  <c r="K22" i="7"/>
  <c r="K36" i="3"/>
  <c r="K39" i="3" s="1"/>
  <c r="AJ3" i="19"/>
  <c r="AK3" i="19" s="1"/>
  <c r="AL3" i="19" s="1"/>
  <c r="AM3" i="19" s="1"/>
  <c r="AN3" i="19" s="1"/>
  <c r="AO3" i="19" s="1"/>
  <c r="K13" i="1" l="1"/>
  <c r="I17" i="3"/>
  <c r="I8" i="1" s="1"/>
  <c r="AM9" i="19" s="1"/>
  <c r="J22" i="9"/>
  <c r="J26" i="9" s="1"/>
  <c r="I7" i="7"/>
  <c r="J31" i="17"/>
  <c r="J100" i="9"/>
  <c r="J15" i="3"/>
  <c r="B40" i="17"/>
  <c r="B82" i="18"/>
  <c r="B80" i="18"/>
  <c r="B79" i="18"/>
  <c r="B78" i="18"/>
  <c r="B77" i="18"/>
  <c r="B76" i="18"/>
  <c r="B74" i="18"/>
  <c r="B70" i="18"/>
  <c r="B68" i="18"/>
  <c r="B66" i="18"/>
  <c r="B65" i="18"/>
  <c r="B64" i="18"/>
  <c r="B63" i="18"/>
  <c r="B62" i="18"/>
  <c r="B60" i="18"/>
  <c r="B59" i="18"/>
  <c r="E57" i="18"/>
  <c r="E34" i="18"/>
  <c r="J17" i="3" l="1"/>
  <c r="J8" i="1" s="1"/>
  <c r="AN9" i="19" s="1"/>
  <c r="J7" i="7"/>
  <c r="K22" i="9"/>
  <c r="K26" i="9" s="1"/>
  <c r="K31" i="17"/>
  <c r="K100" i="9"/>
  <c r="K15" i="3"/>
  <c r="K17" i="3" s="1"/>
  <c r="K7" i="7" l="1"/>
  <c r="K8" i="1"/>
  <c r="AO9" i="19" s="1"/>
  <c r="B70" i="12"/>
  <c r="B69" i="12"/>
  <c r="B34" i="17"/>
  <c r="B21" i="17"/>
  <c r="B20" i="17"/>
  <c r="B19" i="17"/>
  <c r="B18" i="17"/>
  <c r="B17" i="17"/>
  <c r="B13" i="17"/>
  <c r="B7" i="17"/>
  <c r="E122" i="9"/>
  <c r="E106" i="9"/>
  <c r="E64" i="9"/>
  <c r="E49" i="9"/>
  <c r="E34" i="9"/>
  <c r="B52" i="9"/>
  <c r="F51" i="9"/>
  <c r="B47" i="9"/>
  <c r="H12" i="1"/>
  <c r="I12" i="1"/>
  <c r="J12" i="1"/>
  <c r="K12" i="1"/>
  <c r="M31" i="9"/>
  <c r="F12" i="1" l="1"/>
  <c r="F15" i="1" s="1"/>
  <c r="E12" i="1"/>
  <c r="E15" i="1" s="1"/>
  <c r="K29" i="17"/>
  <c r="I29" i="17"/>
  <c r="H29" i="17"/>
  <c r="J29" i="17"/>
  <c r="B32" i="9"/>
  <c r="E32" i="9"/>
  <c r="E30" i="9" s="1"/>
  <c r="F32" i="9"/>
  <c r="F30" i="9" l="1"/>
  <c r="F28" i="17" s="1"/>
  <c r="F29" i="17" s="1"/>
  <c r="K55" i="3"/>
  <c r="K20" i="1" s="1"/>
  <c r="J55" i="3"/>
  <c r="J20" i="1" s="1"/>
  <c r="I55" i="3"/>
  <c r="I20" i="1" s="1"/>
  <c r="H55" i="3"/>
  <c r="H20" i="1" s="1"/>
  <c r="G55" i="3"/>
  <c r="F55" i="3"/>
  <c r="F20" i="1" s="1"/>
  <c r="E55" i="3"/>
  <c r="E20" i="1" s="1"/>
  <c r="B55" i="3"/>
  <c r="B80" i="3"/>
  <c r="B79" i="3"/>
  <c r="G20" i="1" l="1"/>
  <c r="E18" i="7"/>
  <c r="J34" i="17"/>
  <c r="H34" i="17"/>
  <c r="G34" i="17"/>
  <c r="F72" i="3"/>
  <c r="E72" i="3"/>
  <c r="B71" i="3"/>
  <c r="B33" i="12"/>
  <c r="F57" i="3"/>
  <c r="F21" i="1" s="1"/>
  <c r="E57" i="3"/>
  <c r="E21" i="1" s="1"/>
  <c r="B57" i="3"/>
  <c r="B61" i="3"/>
  <c r="K111" i="9"/>
  <c r="J111" i="9"/>
  <c r="I111" i="9"/>
  <c r="H111" i="9"/>
  <c r="G111" i="9"/>
  <c r="B110" i="9"/>
  <c r="B108" i="9"/>
  <c r="B25" i="12"/>
  <c r="F66" i="3" l="1"/>
  <c r="E28" i="1"/>
  <c r="F28" i="1"/>
  <c r="E66" i="3"/>
  <c r="F22" i="1"/>
  <c r="F111" i="9"/>
  <c r="E22" i="1"/>
  <c r="H112" i="9"/>
  <c r="H60" i="3" s="1"/>
  <c r="K34" i="17"/>
  <c r="I34" i="17"/>
  <c r="G112" i="9"/>
  <c r="G60" i="3" s="1"/>
  <c r="I112" i="9"/>
  <c r="I60" i="3" s="1"/>
  <c r="J112" i="9"/>
  <c r="J60" i="3" s="1"/>
  <c r="K112" i="9"/>
  <c r="K60" i="3" s="1"/>
  <c r="K25" i="7"/>
  <c r="J25" i="7"/>
  <c r="H25" i="7"/>
  <c r="G25" i="7"/>
  <c r="I25" i="7"/>
  <c r="F25" i="7"/>
  <c r="E25" i="7"/>
  <c r="F59" i="12"/>
  <c r="E59" i="12"/>
  <c r="E61" i="12" s="1"/>
  <c r="AJ21" i="19"/>
  <c r="AI21" i="19"/>
  <c r="B55" i="12"/>
  <c r="J33" i="17" l="1"/>
  <c r="J35" i="17" s="1"/>
  <c r="H33" i="17"/>
  <c r="H35" i="17" s="1"/>
  <c r="K33" i="17"/>
  <c r="K35" i="17" s="1"/>
  <c r="F39" i="17"/>
  <c r="I33" i="17"/>
  <c r="I35" i="17" s="1"/>
  <c r="F33" i="17"/>
  <c r="G33" i="17"/>
  <c r="G35" i="17" s="1"/>
  <c r="I13" i="17"/>
  <c r="K13" i="17"/>
  <c r="F13" i="17"/>
  <c r="G13" i="17"/>
  <c r="H13" i="17"/>
  <c r="J13" i="17"/>
  <c r="F10" i="17"/>
  <c r="F34" i="17"/>
  <c r="F43" i="17"/>
  <c r="G39" i="17"/>
  <c r="B24" i="12"/>
  <c r="F120" i="9"/>
  <c r="E120" i="9"/>
  <c r="B120" i="9"/>
  <c r="K119" i="9"/>
  <c r="J119" i="9"/>
  <c r="I119" i="9"/>
  <c r="H119" i="9"/>
  <c r="G119" i="9"/>
  <c r="K44" i="9"/>
  <c r="J44" i="9"/>
  <c r="I44" i="9"/>
  <c r="H44" i="9"/>
  <c r="G44" i="9"/>
  <c r="F45" i="9"/>
  <c r="E45" i="9"/>
  <c r="B45" i="9"/>
  <c r="K115" i="9"/>
  <c r="J115" i="9"/>
  <c r="I115" i="9"/>
  <c r="H115" i="9"/>
  <c r="G115" i="9"/>
  <c r="F116" i="9"/>
  <c r="E116" i="9"/>
  <c r="B116" i="9"/>
  <c r="F39" i="9"/>
  <c r="E39" i="9"/>
  <c r="B39" i="9"/>
  <c r="K38" i="9"/>
  <c r="J38" i="9"/>
  <c r="I38" i="9"/>
  <c r="H38" i="9"/>
  <c r="G38" i="9"/>
  <c r="F42" i="9"/>
  <c r="F41" i="9" s="1"/>
  <c r="E42" i="9"/>
  <c r="E41" i="9" s="1"/>
  <c r="B42" i="9"/>
  <c r="K41" i="9"/>
  <c r="J41" i="9"/>
  <c r="I41" i="9"/>
  <c r="H41" i="9"/>
  <c r="G41" i="9"/>
  <c r="B61" i="12"/>
  <c r="B59" i="12"/>
  <c r="B58" i="12"/>
  <c r="B57" i="12"/>
  <c r="B56" i="12"/>
  <c r="B53" i="12"/>
  <c r="B47" i="12"/>
  <c r="B45" i="12"/>
  <c r="B44" i="12"/>
  <c r="B43" i="12"/>
  <c r="B42" i="12"/>
  <c r="B41" i="12"/>
  <c r="B39" i="12"/>
  <c r="B38" i="12"/>
  <c r="B31" i="12"/>
  <c r="B30" i="12"/>
  <c r="B28" i="12"/>
  <c r="B18" i="12"/>
  <c r="B16" i="12"/>
  <c r="B15" i="12"/>
  <c r="B13" i="12"/>
  <c r="B12" i="12"/>
  <c r="B11" i="12"/>
  <c r="K65" i="3"/>
  <c r="J65" i="3"/>
  <c r="I65" i="3"/>
  <c r="H65" i="3"/>
  <c r="G65" i="3"/>
  <c r="F128" i="9" l="1"/>
  <c r="E128" i="9"/>
  <c r="F38" i="9"/>
  <c r="F124" i="9"/>
  <c r="E38" i="9"/>
  <c r="E124" i="9"/>
  <c r="F27" i="7"/>
  <c r="F119" i="9"/>
  <c r="E27" i="7"/>
  <c r="E119" i="9"/>
  <c r="F12" i="7"/>
  <c r="F44" i="9"/>
  <c r="E12" i="7"/>
  <c r="E44" i="9"/>
  <c r="E26" i="7"/>
  <c r="E115" i="9"/>
  <c r="F26" i="7"/>
  <c r="F115" i="9"/>
  <c r="E129" i="9"/>
  <c r="E125" i="9" s="1"/>
  <c r="F35" i="17"/>
  <c r="E10" i="7"/>
  <c r="F11" i="7"/>
  <c r="F10" i="7"/>
  <c r="E11" i="7"/>
  <c r="E126" i="9" l="1"/>
  <c r="E130" i="9" s="1"/>
  <c r="F21" i="17"/>
  <c r="F20" i="17"/>
  <c r="F19" i="17"/>
  <c r="AL5" i="19"/>
  <c r="AM5" i="19"/>
  <c r="AN5" i="19"/>
  <c r="AO5" i="19"/>
  <c r="AI5" i="19"/>
  <c r="AJ5" i="19"/>
  <c r="AK5" i="19"/>
  <c r="F18" i="17"/>
  <c r="F17" i="17"/>
  <c r="G59" i="3"/>
  <c r="K25" i="3"/>
  <c r="J25" i="3"/>
  <c r="I25" i="3"/>
  <c r="H25" i="3"/>
  <c r="G25" i="3"/>
  <c r="K10" i="3"/>
  <c r="J10" i="3"/>
  <c r="I10" i="3"/>
  <c r="H10" i="3"/>
  <c r="G10" i="3"/>
  <c r="F22" i="17" l="1"/>
  <c r="AJ6" i="19"/>
  <c r="AI6" i="19"/>
  <c r="F67" i="3"/>
  <c r="F71" i="3" s="1"/>
  <c r="E30" i="12"/>
  <c r="E67" i="3" s="1"/>
  <c r="E71" i="3" s="1"/>
  <c r="E74" i="3" l="1"/>
  <c r="E79" i="3"/>
  <c r="E83" i="3" s="1"/>
  <c r="E85" i="3" s="1"/>
  <c r="E75" i="3"/>
  <c r="F74" i="3"/>
  <c r="F79" i="3"/>
  <c r="F83" i="3" s="1"/>
  <c r="F85" i="3" s="1"/>
  <c r="F75" i="3"/>
  <c r="E25" i="1"/>
  <c r="F25" i="1"/>
  <c r="B12" i="24" l="1"/>
  <c r="H59" i="3"/>
  <c r="E26" i="3"/>
  <c r="F26" i="3"/>
  <c r="G26" i="3" s="1"/>
  <c r="H26" i="3" s="1"/>
  <c r="I26" i="3" s="1"/>
  <c r="J26" i="3" s="1"/>
  <c r="K26" i="3" s="1"/>
  <c r="K27" i="3" s="1"/>
  <c r="F5" i="18" l="1"/>
  <c r="F5" i="9"/>
  <c r="K30" i="3"/>
  <c r="F35" i="12"/>
  <c r="F5" i="7"/>
  <c r="F5" i="17"/>
  <c r="F5" i="3"/>
  <c r="I59" i="3"/>
  <c r="G27" i="3"/>
  <c r="F25" i="3"/>
  <c r="I27" i="3"/>
  <c r="J27" i="3"/>
  <c r="H27" i="3"/>
  <c r="G5" i="18" l="1"/>
  <c r="G5" i="9"/>
  <c r="F106" i="9"/>
  <c r="F55" i="9"/>
  <c r="F122" i="9"/>
  <c r="F34" i="9"/>
  <c r="F64" i="9"/>
  <c r="F49" i="9"/>
  <c r="F57" i="18"/>
  <c r="F34" i="18"/>
  <c r="I30" i="3"/>
  <c r="H30" i="3"/>
  <c r="J30" i="3"/>
  <c r="G30" i="3"/>
  <c r="G5" i="17"/>
  <c r="G5" i="7"/>
  <c r="G5" i="3"/>
  <c r="F77" i="3"/>
  <c r="F21" i="3"/>
  <c r="F51" i="3"/>
  <c r="F32" i="3"/>
  <c r="F63" i="3"/>
  <c r="F69" i="3"/>
  <c r="F39" i="12"/>
  <c r="E39" i="12"/>
  <c r="F13" i="12"/>
  <c r="E13" i="12"/>
  <c r="H5" i="18" l="1"/>
  <c r="H5" i="9"/>
  <c r="G55" i="9"/>
  <c r="G64" i="9"/>
  <c r="G122" i="9"/>
  <c r="G49" i="9"/>
  <c r="G34" i="9"/>
  <c r="G106" i="9"/>
  <c r="G34" i="18"/>
  <c r="G57" i="18"/>
  <c r="H5" i="17"/>
  <c r="H5" i="7"/>
  <c r="H5" i="3"/>
  <c r="G77" i="3"/>
  <c r="G51" i="3"/>
  <c r="G32" i="3"/>
  <c r="G63" i="3"/>
  <c r="G69" i="3"/>
  <c r="G21" i="3"/>
  <c r="J59" i="3"/>
  <c r="E28" i="12"/>
  <c r="F28" i="12"/>
  <c r="I5" i="18" l="1"/>
  <c r="I5" i="9"/>
  <c r="H55" i="9"/>
  <c r="H122" i="9"/>
  <c r="H64" i="9"/>
  <c r="H106" i="9"/>
  <c r="H49" i="9"/>
  <c r="H34" i="9"/>
  <c r="H34" i="18"/>
  <c r="H57" i="18"/>
  <c r="I5" i="17"/>
  <c r="I5" i="7"/>
  <c r="I5" i="3"/>
  <c r="H77" i="3"/>
  <c r="H69" i="3"/>
  <c r="H21" i="3"/>
  <c r="H51" i="3"/>
  <c r="H32" i="3"/>
  <c r="H63" i="3"/>
  <c r="J61" i="3"/>
  <c r="J22" i="1" s="1"/>
  <c r="I61" i="3"/>
  <c r="I22" i="1" s="1"/>
  <c r="G61" i="3"/>
  <c r="G22" i="1" s="1"/>
  <c r="H61" i="3"/>
  <c r="H22" i="1" s="1"/>
  <c r="F45" i="12"/>
  <c r="F47" i="12" s="1"/>
  <c r="E31" i="12"/>
  <c r="F31" i="12"/>
  <c r="F69" i="12" s="1"/>
  <c r="E45" i="12"/>
  <c r="E47" i="12" s="1"/>
  <c r="F53" i="9" l="1"/>
  <c r="F68" i="12"/>
  <c r="F61" i="12"/>
  <c r="F66" i="12" s="1"/>
  <c r="I34" i="9"/>
  <c r="I64" i="9"/>
  <c r="I122" i="9"/>
  <c r="I55" i="9"/>
  <c r="I106" i="9"/>
  <c r="I49" i="9"/>
  <c r="J5" i="18"/>
  <c r="J5" i="9"/>
  <c r="I57" i="18"/>
  <c r="I34" i="18"/>
  <c r="J5" i="17"/>
  <c r="J5" i="7"/>
  <c r="J5" i="3"/>
  <c r="I77" i="3"/>
  <c r="I51" i="3"/>
  <c r="I21" i="3"/>
  <c r="I63" i="3"/>
  <c r="I69" i="3"/>
  <c r="I32" i="3"/>
  <c r="K59" i="3"/>
  <c r="K61" i="3" s="1"/>
  <c r="K22" i="1" s="1"/>
  <c r="E66" i="12"/>
  <c r="E74" i="12" s="1"/>
  <c r="E36" i="12" s="1"/>
  <c r="G51" i="9" l="1"/>
  <c r="F18" i="7"/>
  <c r="F129" i="9"/>
  <c r="J57" i="18"/>
  <c r="J34" i="18"/>
  <c r="K5" i="9"/>
  <c r="K5" i="18"/>
  <c r="J55" i="9"/>
  <c r="J49" i="9"/>
  <c r="J122" i="9"/>
  <c r="J34" i="9"/>
  <c r="J106" i="9"/>
  <c r="J64" i="9"/>
  <c r="K5" i="7"/>
  <c r="K5" i="17"/>
  <c r="K5" i="3"/>
  <c r="J77" i="3"/>
  <c r="J32" i="3"/>
  <c r="J21" i="3"/>
  <c r="J51" i="3"/>
  <c r="J63" i="3"/>
  <c r="J69" i="3"/>
  <c r="E8" i="7"/>
  <c r="F8" i="7"/>
  <c r="F125" i="9" l="1"/>
  <c r="F126" i="9" s="1"/>
  <c r="F130" i="9"/>
  <c r="K57" i="18"/>
  <c r="K34" i="18"/>
  <c r="K49" i="9"/>
  <c r="K106" i="9"/>
  <c r="K122" i="9"/>
  <c r="K64" i="9"/>
  <c r="K55" i="9"/>
  <c r="K34" i="9"/>
  <c r="K77" i="3"/>
  <c r="K63" i="3"/>
  <c r="K32" i="3"/>
  <c r="K69" i="3"/>
  <c r="K51" i="3"/>
  <c r="K21" i="3"/>
  <c r="F9" i="1" l="1"/>
  <c r="F17" i="1" s="1"/>
  <c r="F29" i="1" s="1"/>
  <c r="G9" i="3"/>
  <c r="F32" i="1" l="1"/>
  <c r="F18" i="18"/>
  <c r="F25" i="18"/>
  <c r="F26" i="18"/>
  <c r="F13" i="18"/>
  <c r="F8" i="18"/>
  <c r="F38" i="18"/>
  <c r="F36" i="18"/>
  <c r="F37" i="18"/>
  <c r="F48" i="18"/>
  <c r="F43" i="18"/>
  <c r="F15" i="18"/>
  <c r="AJ12" i="19" s="1"/>
  <c r="F40" i="18"/>
  <c r="F42" i="18"/>
  <c r="F41" i="18"/>
  <c r="F49" i="18"/>
  <c r="F50" i="18"/>
  <c r="F51" i="18"/>
  <c r="F54" i="18"/>
  <c r="G11" i="3"/>
  <c r="G10" i="18"/>
  <c r="AK6" i="19" s="1"/>
  <c r="H9" i="3"/>
  <c r="G36" i="9" l="1"/>
  <c r="G118" i="9"/>
  <c r="G7" i="1"/>
  <c r="AK8" i="19" s="1"/>
  <c r="G19" i="3"/>
  <c r="F19" i="18"/>
  <c r="F44" i="18"/>
  <c r="H11" i="3"/>
  <c r="H10" i="18"/>
  <c r="AL6" i="19" s="1"/>
  <c r="G41" i="3"/>
  <c r="G44" i="3" s="1"/>
  <c r="I9" i="3"/>
  <c r="G14" i="1" l="1"/>
  <c r="G46" i="3"/>
  <c r="G47" i="3" s="1"/>
  <c r="G49" i="3" s="1"/>
  <c r="G66" i="3" s="1"/>
  <c r="G114" i="9"/>
  <c r="H36" i="9"/>
  <c r="H118" i="9"/>
  <c r="H7" i="1"/>
  <c r="AL8" i="19" s="1"/>
  <c r="H19" i="3"/>
  <c r="G120" i="9"/>
  <c r="F33" i="1"/>
  <c r="F20" i="18" s="1"/>
  <c r="F46" i="18"/>
  <c r="G11" i="1"/>
  <c r="I11" i="3"/>
  <c r="I10" i="18"/>
  <c r="AM6" i="19" s="1"/>
  <c r="H41" i="3"/>
  <c r="H44" i="3" s="1"/>
  <c r="J9" i="3"/>
  <c r="AJ23" i="19"/>
  <c r="F23" i="1"/>
  <c r="F52" i="18" s="1"/>
  <c r="AJ24" i="19"/>
  <c r="H14" i="1" l="1"/>
  <c r="H46" i="3"/>
  <c r="H47" i="3" s="1"/>
  <c r="H49" i="3" s="1"/>
  <c r="H66" i="3" s="1"/>
  <c r="G14" i="18"/>
  <c r="H114" i="9"/>
  <c r="I36" i="9"/>
  <c r="I118" i="9"/>
  <c r="G116" i="9"/>
  <c r="G42" i="9"/>
  <c r="G11" i="7" s="1"/>
  <c r="G18" i="17" s="1"/>
  <c r="G39" i="9"/>
  <c r="G45" i="9"/>
  <c r="AK11" i="19"/>
  <c r="I19" i="3"/>
  <c r="I7" i="1"/>
  <c r="AM8" i="19" s="1"/>
  <c r="H120" i="9"/>
  <c r="G9" i="1"/>
  <c r="G8" i="18" s="1"/>
  <c r="J11" i="3"/>
  <c r="J10" i="18"/>
  <c r="AN6" i="19" s="1"/>
  <c r="I41" i="3"/>
  <c r="I44" i="3" s="1"/>
  <c r="F65" i="3"/>
  <c r="H11" i="1"/>
  <c r="H9" i="1"/>
  <c r="H8" i="18" s="1"/>
  <c r="K9" i="3"/>
  <c r="F26" i="1"/>
  <c r="I14" i="1" l="1"/>
  <c r="I46" i="3"/>
  <c r="I47" i="3" s="1"/>
  <c r="I49" i="3" s="1"/>
  <c r="I66" i="3" s="1"/>
  <c r="H14" i="18"/>
  <c r="H15" i="1"/>
  <c r="H17" i="1" s="1"/>
  <c r="H29" i="1" s="1"/>
  <c r="I114" i="9"/>
  <c r="J36" i="9"/>
  <c r="J118" i="9"/>
  <c r="G124" i="9"/>
  <c r="H36" i="18"/>
  <c r="H13" i="18"/>
  <c r="G40" i="18"/>
  <c r="G13" i="18"/>
  <c r="G15" i="18"/>
  <c r="AK12" i="19" s="1"/>
  <c r="H42" i="9"/>
  <c r="H11" i="7" s="1"/>
  <c r="H18" i="17" s="1"/>
  <c r="H39" i="9"/>
  <c r="H45" i="9"/>
  <c r="H12" i="7" s="1"/>
  <c r="I120" i="9"/>
  <c r="G38" i="18"/>
  <c r="G48" i="18"/>
  <c r="G50" i="18"/>
  <c r="G43" i="18"/>
  <c r="G37" i="18"/>
  <c r="G49" i="18"/>
  <c r="G51" i="18"/>
  <c r="G36" i="18"/>
  <c r="AL11" i="19"/>
  <c r="H40" i="18"/>
  <c r="H15" i="18"/>
  <c r="AL12" i="19" s="1"/>
  <c r="H116" i="9"/>
  <c r="H26" i="7" s="1"/>
  <c r="H42" i="18"/>
  <c r="H38" i="18"/>
  <c r="H50" i="18"/>
  <c r="H48" i="18"/>
  <c r="H43" i="18"/>
  <c r="H37" i="18"/>
  <c r="H41" i="18"/>
  <c r="H49" i="18"/>
  <c r="H51" i="18"/>
  <c r="J19" i="3"/>
  <c r="J7" i="1"/>
  <c r="AN8" i="19" s="1"/>
  <c r="G42" i="18"/>
  <c r="F34" i="1"/>
  <c r="F21" i="18" s="1"/>
  <c r="AJ14" i="19" s="1"/>
  <c r="F55" i="18"/>
  <c r="K11" i="3"/>
  <c r="K10" i="18"/>
  <c r="AO6" i="19" s="1"/>
  <c r="J41" i="3"/>
  <c r="J44" i="3" s="1"/>
  <c r="G27" i="7"/>
  <c r="G21" i="17" s="1"/>
  <c r="G26" i="7"/>
  <c r="G20" i="17" s="1"/>
  <c r="G12" i="7"/>
  <c r="G19" i="17" s="1"/>
  <c r="H27" i="7"/>
  <c r="I9" i="1"/>
  <c r="I8" i="18" s="1"/>
  <c r="F52" i="9"/>
  <c r="F71" i="12"/>
  <c r="F72" i="12" s="1"/>
  <c r="F74" i="12" s="1"/>
  <c r="F36" i="12" s="1"/>
  <c r="F80" i="3"/>
  <c r="F81" i="3" s="1"/>
  <c r="F22" i="18"/>
  <c r="AJ15" i="19" s="1"/>
  <c r="F7" i="17"/>
  <c r="F14" i="17" s="1"/>
  <c r="AJ13" i="19"/>
  <c r="G29" i="17"/>
  <c r="H32" i="1" l="1"/>
  <c r="H19" i="18" s="1"/>
  <c r="H18" i="18"/>
  <c r="H26" i="18"/>
  <c r="H25" i="18"/>
  <c r="J14" i="1"/>
  <c r="J46" i="3"/>
  <c r="J47" i="3" s="1"/>
  <c r="J49" i="3" s="1"/>
  <c r="J114" i="9"/>
  <c r="K36" i="9"/>
  <c r="K118" i="9"/>
  <c r="H124" i="9"/>
  <c r="I36" i="18"/>
  <c r="I13" i="18"/>
  <c r="H44" i="18"/>
  <c r="I39" i="9"/>
  <c r="I45" i="9"/>
  <c r="I12" i="7" s="1"/>
  <c r="I19" i="17" s="1"/>
  <c r="I42" i="9"/>
  <c r="I11" i="7" s="1"/>
  <c r="I18" i="17" s="1"/>
  <c r="I116" i="9"/>
  <c r="I26" i="7" s="1"/>
  <c r="I20" i="17" s="1"/>
  <c r="I42" i="18"/>
  <c r="I38" i="18"/>
  <c r="I50" i="18"/>
  <c r="I48" i="18"/>
  <c r="I43" i="18"/>
  <c r="I37" i="18"/>
  <c r="I41" i="18"/>
  <c r="I49" i="18"/>
  <c r="I51" i="18"/>
  <c r="K19" i="3"/>
  <c r="K7" i="1"/>
  <c r="AO8" i="19" s="1"/>
  <c r="J120" i="9"/>
  <c r="I11" i="1"/>
  <c r="K41" i="3"/>
  <c r="K44" i="3" s="1"/>
  <c r="F25" i="17"/>
  <c r="F37" i="17" s="1"/>
  <c r="H10" i="7"/>
  <c r="G10" i="7"/>
  <c r="G17" i="17" s="1"/>
  <c r="G22" i="17" s="1"/>
  <c r="J11" i="1"/>
  <c r="F4" i="3"/>
  <c r="G12" i="1"/>
  <c r="G15" i="1" s="1"/>
  <c r="G17" i="1" s="1"/>
  <c r="G29" i="1" s="1"/>
  <c r="H20" i="17"/>
  <c r="H19" i="17"/>
  <c r="H21" i="17"/>
  <c r="I27" i="7"/>
  <c r="I21" i="17" s="1"/>
  <c r="G32" i="1" l="1"/>
  <c r="G18" i="18"/>
  <c r="G26" i="18"/>
  <c r="G25" i="18"/>
  <c r="K14" i="1"/>
  <c r="K46" i="3"/>
  <c r="K47" i="3" s="1"/>
  <c r="K49" i="3" s="1"/>
  <c r="K66" i="3" s="1"/>
  <c r="I14" i="18"/>
  <c r="I15" i="1"/>
  <c r="I17" i="1" s="1"/>
  <c r="I29" i="1" s="1"/>
  <c r="J14" i="18"/>
  <c r="J15" i="1"/>
  <c r="G41" i="18"/>
  <c r="K114" i="9"/>
  <c r="I124" i="9"/>
  <c r="AM11" i="19"/>
  <c r="I15" i="18"/>
  <c r="AM12" i="19" s="1"/>
  <c r="I40" i="18"/>
  <c r="K120" i="9"/>
  <c r="K27" i="7" s="1"/>
  <c r="J116" i="9"/>
  <c r="J26" i="7" s="1"/>
  <c r="J20" i="17" s="1"/>
  <c r="AN11" i="19"/>
  <c r="J42" i="9"/>
  <c r="J45" i="9"/>
  <c r="J39" i="9"/>
  <c r="J9" i="1"/>
  <c r="J8" i="18" s="1"/>
  <c r="J66" i="3"/>
  <c r="K9" i="1"/>
  <c r="K8" i="18" s="1"/>
  <c r="F40" i="17"/>
  <c r="F41" i="17" s="1"/>
  <c r="F44" i="17" s="1"/>
  <c r="F4" i="17" s="1"/>
  <c r="AJ20" i="19"/>
  <c r="H17" i="17"/>
  <c r="H22" i="17" s="1"/>
  <c r="I10" i="7"/>
  <c r="I17" i="17" s="1"/>
  <c r="I22" i="17" s="1"/>
  <c r="K11" i="1"/>
  <c r="I32" i="1" l="1"/>
  <c r="I19" i="18" s="1"/>
  <c r="I18" i="18"/>
  <c r="I26" i="18"/>
  <c r="I25" i="18"/>
  <c r="J17" i="1"/>
  <c r="J29" i="1" s="1"/>
  <c r="K14" i="18"/>
  <c r="K15" i="1"/>
  <c r="K17" i="1" s="1"/>
  <c r="K29" i="1" s="1"/>
  <c r="G19" i="18"/>
  <c r="G44" i="18"/>
  <c r="J124" i="9"/>
  <c r="J15" i="18"/>
  <c r="AN12" i="19" s="1"/>
  <c r="J13" i="18"/>
  <c r="K36" i="18"/>
  <c r="K13" i="18"/>
  <c r="K42" i="9"/>
  <c r="K11" i="7" s="1"/>
  <c r="K45" i="9"/>
  <c r="K12" i="7" s="1"/>
  <c r="K39" i="9"/>
  <c r="I44" i="18"/>
  <c r="K40" i="18"/>
  <c r="K15" i="18"/>
  <c r="AO12" i="19" s="1"/>
  <c r="AO11" i="19"/>
  <c r="J38" i="18"/>
  <c r="J50" i="18"/>
  <c r="J48" i="18"/>
  <c r="J43" i="18"/>
  <c r="J37" i="18"/>
  <c r="J41" i="18"/>
  <c r="J49" i="18"/>
  <c r="J51" i="18"/>
  <c r="J36" i="18"/>
  <c r="J40" i="18"/>
  <c r="K38" i="18"/>
  <c r="K48" i="18"/>
  <c r="K50" i="18"/>
  <c r="K43" i="18"/>
  <c r="K41" i="18"/>
  <c r="K37" i="18"/>
  <c r="K49" i="18"/>
  <c r="K51" i="18"/>
  <c r="K116" i="9"/>
  <c r="K26" i="7" s="1"/>
  <c r="K20" i="17" s="1"/>
  <c r="K42" i="18"/>
  <c r="J42" i="18"/>
  <c r="J12" i="7"/>
  <c r="J19" i="17" s="1"/>
  <c r="J27" i="7"/>
  <c r="J21" i="17" s="1"/>
  <c r="J11" i="7"/>
  <c r="J18" i="17" s="1"/>
  <c r="E9" i="1"/>
  <c r="E17" i="1" s="1"/>
  <c r="E29" i="1" s="1"/>
  <c r="E32" i="1" l="1"/>
  <c r="E18" i="18"/>
  <c r="E25" i="18"/>
  <c r="K32" i="1"/>
  <c r="K19" i="18" s="1"/>
  <c r="K18" i="18"/>
  <c r="K25" i="18"/>
  <c r="K26" i="18"/>
  <c r="J32" i="1"/>
  <c r="J19" i="18" s="1"/>
  <c r="J18" i="18"/>
  <c r="J25" i="18"/>
  <c r="J26" i="18"/>
  <c r="E13" i="18"/>
  <c r="E8" i="18"/>
  <c r="K124" i="9"/>
  <c r="J44" i="18"/>
  <c r="K44" i="18"/>
  <c r="E38" i="18"/>
  <c r="E36" i="18"/>
  <c r="E37" i="18"/>
  <c r="E48" i="18"/>
  <c r="E43" i="18"/>
  <c r="E40" i="18"/>
  <c r="E42" i="18"/>
  <c r="E15" i="18"/>
  <c r="AI12" i="19" s="1"/>
  <c r="E41" i="18"/>
  <c r="E49" i="18"/>
  <c r="E50" i="18"/>
  <c r="E51" i="18"/>
  <c r="E54" i="18"/>
  <c r="K10" i="7"/>
  <c r="J10" i="7"/>
  <c r="J17" i="17" s="1"/>
  <c r="J22" i="17" s="1"/>
  <c r="K19" i="17"/>
  <c r="K18" i="17"/>
  <c r="K21" i="17"/>
  <c r="E44" i="18" l="1"/>
  <c r="E19" i="18"/>
  <c r="K17" i="17"/>
  <c r="K22" i="17" s="1"/>
  <c r="E46" i="18" l="1"/>
  <c r="E33" i="1"/>
  <c r="E20" i="18" s="1"/>
  <c r="E23" i="1"/>
  <c r="E52" i="18" s="1"/>
  <c r="AI23" i="19"/>
  <c r="E65" i="3" l="1"/>
  <c r="E26" i="1"/>
  <c r="E55" i="18" l="1"/>
  <c r="E34" i="1"/>
  <c r="E21" i="18" s="1"/>
  <c r="AI14" i="19" s="1"/>
  <c r="AI13" i="19"/>
  <c r="E80" i="3"/>
  <c r="E81" i="3" s="1"/>
  <c r="E4" i="3" l="1"/>
  <c r="E52" i="9"/>
  <c r="E51" i="9" s="1"/>
  <c r="F28" i="7"/>
  <c r="F30" i="7" s="1"/>
  <c r="E14" i="7"/>
  <c r="E28" i="7"/>
  <c r="E30" i="7" s="1"/>
  <c r="E16" i="7" l="1"/>
  <c r="E72" i="18" s="1"/>
  <c r="E27" i="18"/>
  <c r="AI22" i="19" s="1"/>
  <c r="E28" i="18"/>
  <c r="E29" i="18"/>
  <c r="F14" i="7"/>
  <c r="E82" i="18" l="1"/>
  <c r="E132" i="9"/>
  <c r="E68" i="18"/>
  <c r="E70" i="18"/>
  <c r="E77" i="18"/>
  <c r="E65" i="18"/>
  <c r="E74" i="18"/>
  <c r="E78" i="18"/>
  <c r="E79" i="18"/>
  <c r="E64" i="18"/>
  <c r="E76" i="18"/>
  <c r="E59" i="18"/>
  <c r="E62" i="18"/>
  <c r="E63" i="18"/>
  <c r="E60" i="18"/>
  <c r="F133" i="9"/>
  <c r="F32" i="18"/>
  <c r="AJ17" i="19" s="1"/>
  <c r="AJ18" i="19" s="1"/>
  <c r="E66" i="18"/>
  <c r="E80" i="18"/>
  <c r="F27" i="18"/>
  <c r="AJ22" i="19" s="1"/>
  <c r="F28" i="18"/>
  <c r="F29" i="18"/>
  <c r="F16" i="7"/>
  <c r="E33" i="7"/>
  <c r="E4" i="7" s="1"/>
  <c r="E133" i="9"/>
  <c r="F33" i="7" l="1"/>
  <c r="F4" i="7" s="1"/>
  <c r="F72" i="18"/>
  <c r="E134" i="9"/>
  <c r="F132" i="9"/>
  <c r="F68" i="18"/>
  <c r="F70" i="18"/>
  <c r="F77" i="18"/>
  <c r="F74" i="18"/>
  <c r="F65" i="18"/>
  <c r="F79" i="18"/>
  <c r="F78" i="18"/>
  <c r="F76" i="18"/>
  <c r="F64" i="18"/>
  <c r="F59" i="18"/>
  <c r="F62" i="18"/>
  <c r="F63" i="18"/>
  <c r="F60" i="18"/>
  <c r="F80" i="18"/>
  <c r="F66" i="18"/>
  <c r="F82" i="18"/>
  <c r="E4" i="9" l="1"/>
  <c r="F134" i="9"/>
  <c r="F144" i="9" s="1"/>
  <c r="G10" i="17"/>
  <c r="F4" i="9" l="1"/>
  <c r="G33" i="1"/>
  <c r="G20" i="18" s="1"/>
  <c r="G46" i="18"/>
  <c r="G8" i="7"/>
  <c r="G23" i="1" l="1"/>
  <c r="G52" i="18" s="1"/>
  <c r="AK24" i="19"/>
  <c r="AK23" i="19"/>
  <c r="G28" i="7"/>
  <c r="G67" i="3" l="1"/>
  <c r="H10" i="17"/>
  <c r="G71" i="3" l="1"/>
  <c r="H33" i="1"/>
  <c r="H20" i="18" s="1"/>
  <c r="H46" i="18"/>
  <c r="G25" i="1"/>
  <c r="G54" i="18" s="1"/>
  <c r="AL24" i="19"/>
  <c r="H8" i="7"/>
  <c r="AL23" i="19"/>
  <c r="G75" i="3" l="1"/>
  <c r="G79" i="3"/>
  <c r="G74" i="3"/>
  <c r="G26" i="1"/>
  <c r="H23" i="1"/>
  <c r="H52" i="18" s="1"/>
  <c r="I10" i="17"/>
  <c r="I33" i="1" l="1"/>
  <c r="I20" i="18" s="1"/>
  <c r="I46" i="18"/>
  <c r="G55" i="18"/>
  <c r="G34" i="1"/>
  <c r="G21" i="18" s="1"/>
  <c r="AK14" i="19" s="1"/>
  <c r="H67" i="3"/>
  <c r="AK13" i="19"/>
  <c r="G80" i="3"/>
  <c r="G81" i="3" s="1"/>
  <c r="G7" i="17"/>
  <c r="G14" i="17" s="1"/>
  <c r="I8" i="7"/>
  <c r="H28" i="7"/>
  <c r="H71" i="3" l="1"/>
  <c r="G25" i="17"/>
  <c r="G37" i="17" s="1"/>
  <c r="G4" i="3"/>
  <c r="H57" i="9"/>
  <c r="H61" i="9" s="1"/>
  <c r="H20" i="7" s="1"/>
  <c r="G52" i="9"/>
  <c r="G53" i="9" s="1"/>
  <c r="G129" i="9" s="1"/>
  <c r="G125" i="9" s="1"/>
  <c r="G126" i="9" s="1"/>
  <c r="AM24" i="19"/>
  <c r="AM23" i="19"/>
  <c r="H25" i="1"/>
  <c r="H54" i="18" s="1"/>
  <c r="I23" i="1"/>
  <c r="I52" i="18" s="1"/>
  <c r="J10" i="17"/>
  <c r="H79" i="3" l="1"/>
  <c r="H74" i="3"/>
  <c r="H75" i="3"/>
  <c r="G128" i="9"/>
  <c r="G47" i="9"/>
  <c r="G13" i="7" s="1"/>
  <c r="J46" i="18"/>
  <c r="J33" i="1"/>
  <c r="J20" i="18" s="1"/>
  <c r="I67" i="3"/>
  <c r="G40" i="17"/>
  <c r="G41" i="17" s="1"/>
  <c r="AK20" i="19"/>
  <c r="G18" i="7"/>
  <c r="G30" i="7" s="1"/>
  <c r="H51" i="9"/>
  <c r="H26" i="1"/>
  <c r="J8" i="7"/>
  <c r="I28" i="7"/>
  <c r="I71" i="3" l="1"/>
  <c r="H55" i="18"/>
  <c r="H34" i="1"/>
  <c r="H21" i="18" s="1"/>
  <c r="AL14" i="19" s="1"/>
  <c r="AL13" i="19"/>
  <c r="G22" i="18"/>
  <c r="AK15" i="19" s="1"/>
  <c r="AK21" i="19"/>
  <c r="H80" i="3"/>
  <c r="H81" i="3" s="1"/>
  <c r="H7" i="17"/>
  <c r="H14" i="17" s="1"/>
  <c r="J23" i="1"/>
  <c r="J52" i="18" s="1"/>
  <c r="AN24" i="19"/>
  <c r="K8" i="7"/>
  <c r="AN23" i="19"/>
  <c r="I25" i="1"/>
  <c r="I54" i="18" s="1"/>
  <c r="K10" i="17"/>
  <c r="I74" i="3" l="1"/>
  <c r="I75" i="3"/>
  <c r="I79" i="3"/>
  <c r="K33" i="1"/>
  <c r="K20" i="18" s="1"/>
  <c r="K46" i="18"/>
  <c r="J67" i="3"/>
  <c r="H25" i="17"/>
  <c r="H37" i="17" s="1"/>
  <c r="H4" i="3"/>
  <c r="I57" i="9"/>
  <c r="I61" i="9" s="1"/>
  <c r="I20" i="7" s="1"/>
  <c r="G133" i="9"/>
  <c r="G32" i="18"/>
  <c r="AK17" i="19" s="1"/>
  <c r="AK18" i="19" s="1"/>
  <c r="G43" i="17"/>
  <c r="G44" i="17" s="1"/>
  <c r="G4" i="17" s="1"/>
  <c r="G14" i="7"/>
  <c r="H39" i="17"/>
  <c r="H52" i="9"/>
  <c r="H53" i="9" s="1"/>
  <c r="H129" i="9" s="1"/>
  <c r="H125" i="9" s="1"/>
  <c r="H126" i="9" s="1"/>
  <c r="I26" i="1"/>
  <c r="J28" i="7"/>
  <c r="J71" i="3" l="1"/>
  <c r="H128" i="9"/>
  <c r="H47" i="9"/>
  <c r="H13" i="7" s="1"/>
  <c r="I55" i="18"/>
  <c r="I34" i="1"/>
  <c r="I21" i="18" s="1"/>
  <c r="AM14" i="19" s="1"/>
  <c r="AL20" i="19"/>
  <c r="H40" i="17"/>
  <c r="H41" i="17" s="1"/>
  <c r="G130" i="9"/>
  <c r="AM13" i="19"/>
  <c r="J25" i="1"/>
  <c r="J54" i="18" s="1"/>
  <c r="G27" i="18"/>
  <c r="AK22" i="19" s="1"/>
  <c r="G16" i="7"/>
  <c r="G29" i="18"/>
  <c r="G28" i="18"/>
  <c r="H18" i="7"/>
  <c r="H30" i="7" s="1"/>
  <c r="I51" i="9"/>
  <c r="K23" i="1"/>
  <c r="K52" i="18" s="1"/>
  <c r="AO24" i="19"/>
  <c r="AO23" i="19"/>
  <c r="I7" i="17"/>
  <c r="I14" i="17" s="1"/>
  <c r="I80" i="3"/>
  <c r="I81" i="3" s="1"/>
  <c r="K28" i="7"/>
  <c r="G66" i="18" l="1"/>
  <c r="G72" i="18"/>
  <c r="J75" i="3"/>
  <c r="J79" i="3"/>
  <c r="J74" i="3"/>
  <c r="K67" i="3"/>
  <c r="I25" i="17"/>
  <c r="I37" i="17" s="1"/>
  <c r="I4" i="3"/>
  <c r="J57" i="9"/>
  <c r="J61" i="9" s="1"/>
  <c r="J20" i="7" s="1"/>
  <c r="J26" i="1"/>
  <c r="G78" i="18"/>
  <c r="G82" i="18"/>
  <c r="G60" i="18"/>
  <c r="G70" i="18"/>
  <c r="G132" i="9"/>
  <c r="G79" i="18"/>
  <c r="G65" i="18"/>
  <c r="G76" i="18"/>
  <c r="G62" i="18"/>
  <c r="G59" i="18"/>
  <c r="G68" i="18"/>
  <c r="G74" i="18"/>
  <c r="G63" i="18"/>
  <c r="G77" i="18"/>
  <c r="G80" i="18"/>
  <c r="G64" i="18"/>
  <c r="G33" i="7"/>
  <c r="G4" i="7" s="1"/>
  <c r="H32" i="18"/>
  <c r="AL17" i="19" s="1"/>
  <c r="AL18" i="19" s="1"/>
  <c r="AL21" i="19"/>
  <c r="H22" i="18"/>
  <c r="AL15" i="19" s="1"/>
  <c r="I52" i="9"/>
  <c r="I53" i="9" s="1"/>
  <c r="I129" i="9" s="1"/>
  <c r="I125" i="9" s="1"/>
  <c r="I126" i="9" s="1"/>
  <c r="K71" i="3" l="1"/>
  <c r="I128" i="9"/>
  <c r="I47" i="9"/>
  <c r="I13" i="7" s="1"/>
  <c r="J55" i="18"/>
  <c r="J34" i="1"/>
  <c r="J21" i="18" s="1"/>
  <c r="AN14" i="19" s="1"/>
  <c r="I40" i="17"/>
  <c r="AM20" i="19"/>
  <c r="G134" i="9"/>
  <c r="AN13" i="19"/>
  <c r="J80" i="3"/>
  <c r="J81" i="3" s="1"/>
  <c r="J7" i="17"/>
  <c r="J14" i="17" s="1"/>
  <c r="I39" i="17"/>
  <c r="H43" i="17"/>
  <c r="H44" i="17" s="1"/>
  <c r="H4" i="17" s="1"/>
  <c r="H14" i="7"/>
  <c r="H133" i="9"/>
  <c r="K25" i="1"/>
  <c r="K54" i="18" s="1"/>
  <c r="J51" i="9"/>
  <c r="I18" i="7"/>
  <c r="I30" i="7" s="1"/>
  <c r="G4" i="9" l="1"/>
  <c r="K79" i="3"/>
  <c r="K74" i="3"/>
  <c r="K75" i="3"/>
  <c r="I41" i="17"/>
  <c r="J25" i="17"/>
  <c r="J37" i="17" s="1"/>
  <c r="J4" i="3"/>
  <c r="K57" i="9"/>
  <c r="K61" i="9" s="1"/>
  <c r="K20" i="7" s="1"/>
  <c r="J52" i="9"/>
  <c r="J53" i="9" s="1"/>
  <c r="J129" i="9" s="1"/>
  <c r="J125" i="9" s="1"/>
  <c r="J126" i="9" s="1"/>
  <c r="H27" i="18"/>
  <c r="AL22" i="19" s="1"/>
  <c r="H16" i="7"/>
  <c r="H28" i="18"/>
  <c r="H29" i="18"/>
  <c r="H130" i="9"/>
  <c r="K26" i="1"/>
  <c r="I22" i="18"/>
  <c r="AM15" i="19" s="1"/>
  <c r="AM21" i="19"/>
  <c r="H66" i="18" l="1"/>
  <c r="H72" i="18"/>
  <c r="J128" i="9"/>
  <c r="J47" i="9"/>
  <c r="J13" i="7" s="1"/>
  <c r="K55" i="18"/>
  <c r="K34" i="1"/>
  <c r="K21" i="18" s="1"/>
  <c r="AO14" i="19" s="1"/>
  <c r="J40" i="17"/>
  <c r="AN20" i="19"/>
  <c r="K51" i="9"/>
  <c r="AO13" i="19"/>
  <c r="J18" i="7"/>
  <c r="H132" i="9"/>
  <c r="H68" i="18"/>
  <c r="H74" i="18"/>
  <c r="H77" i="18"/>
  <c r="H76" i="18"/>
  <c r="H63" i="18"/>
  <c r="H79" i="18"/>
  <c r="H64" i="18"/>
  <c r="H78" i="18"/>
  <c r="H62" i="18"/>
  <c r="H59" i="18"/>
  <c r="H60" i="18"/>
  <c r="H80" i="18"/>
  <c r="H33" i="7"/>
  <c r="H4" i="7" s="1"/>
  <c r="H70" i="18"/>
  <c r="H65" i="18"/>
  <c r="H82" i="18"/>
  <c r="I133" i="9"/>
  <c r="I32" i="18"/>
  <c r="AM17" i="19" s="1"/>
  <c r="AM18" i="19" s="1"/>
  <c r="K7" i="17"/>
  <c r="K14" i="17" s="1"/>
  <c r="K80" i="3"/>
  <c r="K81" i="3" s="1"/>
  <c r="B11" i="24" s="1"/>
  <c r="B5" i="24" s="1"/>
  <c r="I43" i="17"/>
  <c r="I44" i="17" s="1"/>
  <c r="I4" i="17" s="1"/>
  <c r="I14" i="7"/>
  <c r="J39" i="17"/>
  <c r="P2" i="18" l="1"/>
  <c r="P2" i="17"/>
  <c r="P2" i="7"/>
  <c r="O2" i="1"/>
  <c r="Y2" i="19"/>
  <c r="H2" i="9"/>
  <c r="H2" i="3"/>
  <c r="H2" i="12"/>
  <c r="J41" i="17"/>
  <c r="K25" i="17"/>
  <c r="K37" i="17" s="1"/>
  <c r="H134" i="9"/>
  <c r="J22" i="18"/>
  <c r="AN15" i="19" s="1"/>
  <c r="J30" i="7"/>
  <c r="J32" i="18" s="1"/>
  <c r="AN17" i="19" s="1"/>
  <c r="AN18" i="19" s="1"/>
  <c r="K4" i="3"/>
  <c r="AN21" i="19"/>
  <c r="K52" i="9"/>
  <c r="K53" i="9" s="1"/>
  <c r="K129" i="9" s="1"/>
  <c r="K125" i="9" s="1"/>
  <c r="K126" i="9" s="1"/>
  <c r="I130" i="9"/>
  <c r="I29" i="18"/>
  <c r="I28" i="18"/>
  <c r="I16" i="7"/>
  <c r="I27" i="18"/>
  <c r="AM22" i="19" s="1"/>
  <c r="H4" i="9" l="1"/>
  <c r="I66" i="18"/>
  <c r="I72" i="18"/>
  <c r="K128" i="9"/>
  <c r="K47" i="9"/>
  <c r="K13" i="7" s="1"/>
  <c r="K40" i="17"/>
  <c r="AO20" i="19"/>
  <c r="J133" i="9"/>
  <c r="J43" i="17"/>
  <c r="J44" i="17" s="1"/>
  <c r="J4" i="17" s="1"/>
  <c r="J14" i="7"/>
  <c r="J29" i="18" s="1"/>
  <c r="K39" i="17"/>
  <c r="K18" i="7"/>
  <c r="K30" i="7" s="1"/>
  <c r="I132" i="9"/>
  <c r="I76" i="18"/>
  <c r="I78" i="18"/>
  <c r="I62" i="18"/>
  <c r="I77" i="18"/>
  <c r="I68" i="18"/>
  <c r="I63" i="18"/>
  <c r="I64" i="18"/>
  <c r="I80" i="18"/>
  <c r="I79" i="18"/>
  <c r="I74" i="18"/>
  <c r="I59" i="18"/>
  <c r="I60" i="18"/>
  <c r="I33" i="7"/>
  <c r="I4" i="7" s="1"/>
  <c r="I70" i="18"/>
  <c r="I65" i="18"/>
  <c r="I82" i="18"/>
  <c r="K41" i="17" l="1"/>
  <c r="J130" i="9"/>
  <c r="I134" i="9"/>
  <c r="J16" i="7"/>
  <c r="J28" i="18"/>
  <c r="J27" i="18"/>
  <c r="AN22" i="19" s="1"/>
  <c r="K32" i="18"/>
  <c r="AO17" i="19" s="1"/>
  <c r="AO18" i="19" s="1"/>
  <c r="AO21" i="19"/>
  <c r="K22" i="18"/>
  <c r="AO15" i="19" s="1"/>
  <c r="I4" i="9" l="1"/>
  <c r="J66" i="18"/>
  <c r="J72" i="18"/>
  <c r="J33" i="7"/>
  <c r="J4" i="7" s="1"/>
  <c r="J79" i="18"/>
  <c r="J60" i="18"/>
  <c r="J64" i="18"/>
  <c r="J78" i="18"/>
  <c r="J77" i="18"/>
  <c r="J132" i="9"/>
  <c r="J59" i="18"/>
  <c r="J63" i="18"/>
  <c r="J62" i="18"/>
  <c r="J68" i="18"/>
  <c r="J65" i="18"/>
  <c r="J76" i="18"/>
  <c r="J82" i="18"/>
  <c r="J80" i="18"/>
  <c r="J70" i="18"/>
  <c r="J74" i="18"/>
  <c r="K133" i="9"/>
  <c r="K43" i="17"/>
  <c r="K44" i="17" s="1"/>
  <c r="K4" i="17" s="1"/>
  <c r="K14" i="7"/>
  <c r="J134" i="9" l="1"/>
  <c r="K130" i="9"/>
  <c r="K27" i="18"/>
  <c r="AO22" i="19" s="1"/>
  <c r="K16" i="7"/>
  <c r="K72" i="18" s="1"/>
  <c r="K29" i="18"/>
  <c r="K28" i="18"/>
  <c r="J4" i="9" l="1"/>
  <c r="K33" i="7"/>
  <c r="K4" i="7" s="1"/>
  <c r="K68" i="18"/>
  <c r="K78" i="18"/>
  <c r="K64" i="18"/>
  <c r="K79" i="18"/>
  <c r="K74" i="18"/>
  <c r="K77" i="18"/>
  <c r="K80" i="18"/>
  <c r="K76" i="18"/>
  <c r="K62" i="18"/>
  <c r="K63" i="18"/>
  <c r="K59" i="18"/>
  <c r="K60" i="18"/>
  <c r="K132" i="9"/>
  <c r="K70" i="18"/>
  <c r="K82" i="18"/>
  <c r="K65" i="18"/>
  <c r="K66" i="18"/>
  <c r="K134" i="9" l="1"/>
  <c r="K4" i="9" l="1"/>
</calcChain>
</file>

<file path=xl/sharedStrings.xml><?xml version="1.0" encoding="utf-8"?>
<sst xmlns="http://schemas.openxmlformats.org/spreadsheetml/2006/main" count="556" uniqueCount="415">
  <si>
    <t>Overige opbrengsten</t>
  </si>
  <si>
    <t>Totale opbrengsten</t>
  </si>
  <si>
    <t>Meerjarenplanning</t>
  </si>
  <si>
    <t>Personeelskosten</t>
  </si>
  <si>
    <t>Afschrijvingen</t>
  </si>
  <si>
    <t>Resultaat voor belastingen</t>
  </si>
  <si>
    <t>Belastingen</t>
  </si>
  <si>
    <t>Bedragen in EUR x 1.000 (tenzij anders vermeld)</t>
  </si>
  <si>
    <t>Balans</t>
  </si>
  <si>
    <t>Materiële Vaste Activa</t>
  </si>
  <si>
    <t>Vaste Activa</t>
  </si>
  <si>
    <t>Voorraden</t>
  </si>
  <si>
    <t>Liquide Middelen</t>
  </si>
  <si>
    <t>Vlottende Activa</t>
  </si>
  <si>
    <t>Activa Totaal</t>
  </si>
  <si>
    <t>Eigen Vermogen</t>
  </si>
  <si>
    <t>Kortlopende schulden rentedragend</t>
  </si>
  <si>
    <t>Passiva Totaal</t>
  </si>
  <si>
    <t>Check</t>
  </si>
  <si>
    <t>Bedragen in EUR x 1.000</t>
  </si>
  <si>
    <t>Boekwaarde afgestote/verkochte MVA</t>
  </si>
  <si>
    <t>Verkoopprijs MVA</t>
  </si>
  <si>
    <t>Naar RR</t>
  </si>
  <si>
    <t>Naar KSO</t>
  </si>
  <si>
    <t>Langlopende Schulden (LLS)</t>
  </si>
  <si>
    <t>LLS eindstand</t>
  </si>
  <si>
    <t>Debiteuren dagen</t>
  </si>
  <si>
    <t>Voorraad dagen</t>
  </si>
  <si>
    <t>Crediteuren dagen</t>
  </si>
  <si>
    <t>Debiteuren</t>
  </si>
  <si>
    <t>Crediteuren</t>
  </si>
  <si>
    <t>Beginstand</t>
  </si>
  <si>
    <t>Eindstand</t>
  </si>
  <si>
    <t>KnowYourFinance©</t>
  </si>
  <si>
    <t>EBITDA</t>
  </si>
  <si>
    <t>Belastingtarief</t>
  </si>
  <si>
    <t>Resultatenrekening</t>
  </si>
  <si>
    <t>Aanname: vaste jaarlijkse % stijging</t>
  </si>
  <si>
    <t>FTE</t>
  </si>
  <si>
    <t>Overige kortlopende activa</t>
  </si>
  <si>
    <t>Overige kortlopende passiva</t>
  </si>
  <si>
    <t>Gemiddeld aantal dagen openstaande debiteurenfacturen</t>
  </si>
  <si>
    <t>Gemiddeld aantal dagen openstaande crediteurendagen</t>
  </si>
  <si>
    <t>% Overige kortl passiva van opbrengsten</t>
  </si>
  <si>
    <t>% Overige kortl activa van opbrengsten</t>
  </si>
  <si>
    <t>Verkoopresultaat vaste activa</t>
  </si>
  <si>
    <t>Invoer met minteken (-/-)</t>
  </si>
  <si>
    <t>Afschrijvingen (-/-)</t>
  </si>
  <si>
    <t>Verkoop-/afstoot specificatie MVA</t>
  </si>
  <si>
    <t>Kortlopend deel LLS</t>
  </si>
  <si>
    <t>Indien Check &lt;&gt; LLS eindstand =&gt; controleer mutaties LLS</t>
  </si>
  <si>
    <t>Gemiddeld rente % langlopende schulden</t>
  </si>
  <si>
    <t>Naar BS</t>
  </si>
  <si>
    <t>Gemiddeld rente % kortlopende schulden</t>
  </si>
  <si>
    <t>Financiële baten</t>
  </si>
  <si>
    <t>Financiële lasten</t>
  </si>
  <si>
    <t>Naar Financële lasten RR</t>
  </si>
  <si>
    <t>Kopie Langlopende schulden berekening</t>
  </si>
  <si>
    <t>Beginwaarde MVA</t>
  </si>
  <si>
    <t>Zowel langlopend als kortlopend deel LLS; aanname: rentekosten over gemiddelde LLS per jaar</t>
  </si>
  <si>
    <t>LLS beginstand</t>
  </si>
  <si>
    <t>Aanname: rentekosten berekening over gemiddelde kortlopende schuld per jaar</t>
  </si>
  <si>
    <t>Dividend uitkering</t>
  </si>
  <si>
    <t>Invoeren met minteken (-/-)</t>
  </si>
  <si>
    <t>EBITDA %</t>
  </si>
  <si>
    <t>EBIT %</t>
  </si>
  <si>
    <t>Resultaat %</t>
  </si>
  <si>
    <t>Optelling in huidige sheet</t>
  </si>
  <si>
    <t>Check moet nul zijn</t>
  </si>
  <si>
    <t>Common-size Resultatenrekening</t>
  </si>
  <si>
    <t>Afkortingen</t>
  </si>
  <si>
    <t>EBIT</t>
  </si>
  <si>
    <t>Dividend payout ratio</t>
  </si>
  <si>
    <t>MVA</t>
  </si>
  <si>
    <t>Materiële vaste activa</t>
  </si>
  <si>
    <t>Vlottende activa</t>
  </si>
  <si>
    <t>Kopie BS</t>
  </si>
  <si>
    <t>Eigen vermogen</t>
  </si>
  <si>
    <t>Vlottende passiva</t>
  </si>
  <si>
    <t>Balans totaal check</t>
  </si>
  <si>
    <t>Activa totaal optelling</t>
  </si>
  <si>
    <t>Passiva totaal optelling</t>
  </si>
  <si>
    <t>Check optelling aansluiting</t>
  </si>
  <si>
    <t>Activa totaal kopie BS</t>
  </si>
  <si>
    <t>Passiva totaal kopie BS</t>
  </si>
  <si>
    <t>Check totaal aansluiting</t>
  </si>
  <si>
    <t>Check gelijk</t>
  </si>
  <si>
    <t>Check optelling en kopie gelijk</t>
  </si>
  <si>
    <t>Beide checks opgeteld</t>
  </si>
  <si>
    <t>RR</t>
  </si>
  <si>
    <t>BS</t>
  </si>
  <si>
    <t>KSO</t>
  </si>
  <si>
    <t>Kasstroomoverzicht</t>
  </si>
  <si>
    <t>Correcties op resultaat:</t>
  </si>
  <si>
    <t>Mutaties in werkkapitaal:</t>
  </si>
  <si>
    <t>Mutatie in werkkapitaal</t>
  </si>
  <si>
    <t>Kasstroom uit operationele activiteiten</t>
  </si>
  <si>
    <t>Verkoop vaste activa</t>
  </si>
  <si>
    <t>Kasstroom uit investeringsactiviteiten</t>
  </si>
  <si>
    <t>Aflossing leningen</t>
  </si>
  <si>
    <t>Langlopende schulden</t>
  </si>
  <si>
    <t>Nieuwe/uitbreiding leningen</t>
  </si>
  <si>
    <t>Mutatie kortlopende rentedragende schulden</t>
  </si>
  <si>
    <t>Kasstroom uit financieringsactiviteiten</t>
  </si>
  <si>
    <t>Totale kasstroom</t>
  </si>
  <si>
    <t>Beginstand liquide middelen</t>
  </si>
  <si>
    <t>Eindstand liquide middelen</t>
  </si>
  <si>
    <t>Eindstand BS</t>
  </si>
  <si>
    <t>Eigen vermogen mutatie</t>
  </si>
  <si>
    <t>Eigen vermogen mutatie berekend</t>
  </si>
  <si>
    <t>Checks opgeteld</t>
  </si>
  <si>
    <t>Ratio's</t>
  </si>
  <si>
    <t>Liquiditeit:</t>
  </si>
  <si>
    <t>Interest coverage ratio</t>
  </si>
  <si>
    <t>= EBITDA / financiële lasten</t>
  </si>
  <si>
    <t>Debt service coverage ratio</t>
  </si>
  <si>
    <t>Current ratio</t>
  </si>
  <si>
    <t>Werkkapitaal</t>
  </si>
  <si>
    <t>Vlottende Passiva</t>
  </si>
  <si>
    <t>= Vlottende activa / Vlottende passiva</t>
  </si>
  <si>
    <t>= Vlottende activa -/- Vlottende passiva</t>
  </si>
  <si>
    <t>Operationeel werkkapitaal</t>
  </si>
  <si>
    <t>= (Vlottende activa -/- liquide middelen) -/- (Vlottende passiva -/- kortlopende rentedragende schulden)</t>
  </si>
  <si>
    <t>Rentabiliteit EV</t>
  </si>
  <si>
    <t>= Resultaat / Gemiddeld Eigen Vermogen</t>
  </si>
  <si>
    <t>Resultaat:</t>
  </si>
  <si>
    <t>Solvabiliteit</t>
  </si>
  <si>
    <t>Operationeel:</t>
  </si>
  <si>
    <t>Gemiddelde personeelskosten per FTE</t>
  </si>
  <si>
    <t>Personeelskosten als % van opbrengsten</t>
  </si>
  <si>
    <t>Financiële structuur:</t>
  </si>
  <si>
    <t>= Eigen Vermogen / Totale vermogen</t>
  </si>
  <si>
    <t>= Resultaat / Opbrengsten</t>
  </si>
  <si>
    <t>= EBIT / Opbrengsten</t>
  </si>
  <si>
    <t>= EBITDA / Opbrengsten</t>
  </si>
  <si>
    <t>Als % van total opbrengsten</t>
  </si>
  <si>
    <t>Totale opbrengsten = 100%</t>
  </si>
  <si>
    <t>Common-size Balans</t>
  </si>
  <si>
    <t>Als % van balanstotaal</t>
  </si>
  <si>
    <t>Balanstotaal = 100%</t>
  </si>
  <si>
    <t>Dashboard</t>
  </si>
  <si>
    <t>Operationeel</t>
  </si>
  <si>
    <t>Resultaat</t>
  </si>
  <si>
    <t>Kasstroom</t>
  </si>
  <si>
    <t>Brondata</t>
  </si>
  <si>
    <t>Overige</t>
  </si>
  <si>
    <t>Stand</t>
  </si>
  <si>
    <t>Debt</t>
  </si>
  <si>
    <t>ICR</t>
  </si>
  <si>
    <t>DSCR</t>
  </si>
  <si>
    <t>Balans en Resultatenrekening bedragen x € 1.000</t>
  </si>
  <si>
    <t>Praktisch gebruik</t>
  </si>
  <si>
    <t>Jaaraanduidingen in de kolommen, met R = realisatie/werkelijke cijfers en P = Prognose/verwachting</t>
  </si>
  <si>
    <t>+/- notatie op basis van resultaatimpact: + = positieve bijdrage aan resultaat; - = negatieve bijdrage aan resultaat</t>
  </si>
  <si>
    <t>Bedragen in zwarte tekst zijn formules/berekende waarden</t>
  </si>
  <si>
    <t>In het model worden enkele Engelstalige termen gebruikt, slechts alleen indien dit zinvol is gezien de gebruikelijke terminologie</t>
  </si>
  <si>
    <t>Voor het invoegen van een nieuw jaar, ga als volgt te werk:</t>
  </si>
  <si>
    <t>Veel uitgangspunten en berekeningen zijn weergegeven bij de betreffende invoer- of weergavevelden, of kunnen worden afgeleid op basis van de gehanteerde formules en presentaties</t>
  </si>
  <si>
    <t>Toelichtingen bij model</t>
  </si>
  <si>
    <t>Bepalingen voor gebruik</t>
  </si>
  <si>
    <t>Niet-operationele baten/lasten</t>
  </si>
  <si>
    <t>Voorzieningen</t>
  </si>
  <si>
    <t>Checks</t>
  </si>
  <si>
    <t>EBIT%</t>
  </si>
  <si>
    <t>Netto resultaat</t>
  </si>
  <si>
    <t>Opbrengsten (p*q) productgroep 1</t>
  </si>
  <si>
    <t>Gemiddelde prijsstijging</t>
  </si>
  <si>
    <t>Gemiddelde prijsstijging per prognosejaar</t>
  </si>
  <si>
    <t>Invoer per jaar</t>
  </si>
  <si>
    <t>Gemiddelde prijs (q) (in €)</t>
  </si>
  <si>
    <t>Gemiddelde prijs in euro</t>
  </si>
  <si>
    <t>Gemiddelde jaarlijkse stijging</t>
  </si>
  <si>
    <t>Check activa passiva</t>
  </si>
  <si>
    <t>Check EV mutatie resultaat en dividend</t>
  </si>
  <si>
    <t>Personeelskosten functiegroep 1</t>
  </si>
  <si>
    <t>Aantal fte</t>
  </si>
  <si>
    <t>Variabele kosten % van opbrengsten</t>
  </si>
  <si>
    <t>Afschrijvingslasten</t>
  </si>
  <si>
    <t>Kopie uit 3. Prognose BS</t>
  </si>
  <si>
    <t>Kopie uit RR</t>
  </si>
  <si>
    <t>Financieel + Niet-operationeel resultaat</t>
  </si>
  <si>
    <t>Overige kortlopende activa als % van opbrengsten</t>
  </si>
  <si>
    <t>&lt;=Opbrengsten per dag * Debiteuren dagen&gt;</t>
  </si>
  <si>
    <t>&lt;=Opbrengsten * %&gt;</t>
  </si>
  <si>
    <t>Exclusief kortlopend deel langlopende schulden. Naar BS</t>
  </si>
  <si>
    <t>Interest kortlopende schulden</t>
  </si>
  <si>
    <t>Overige kortlopende passiva als % van opbrengsten</t>
  </si>
  <si>
    <t>Dotatie + (kosten vanuit RR)</t>
  </si>
  <si>
    <t>Vrijval -/- (vrijval naar RR)</t>
  </si>
  <si>
    <t>Indien Check &lt;&gt; Eindstand voorzieningen =&gt; controleer mutaties voorzieningen</t>
  </si>
  <si>
    <t>Dividend uitkering (-/-) invoer</t>
  </si>
  <si>
    <t>Resultaat na dividend</t>
  </si>
  <si>
    <t>Investeringen (+)</t>
  </si>
  <si>
    <t>Boekwaarde verkoop/afstoot (-/-)</t>
  </si>
  <si>
    <t>Eindwaarde bestaande MVA</t>
  </si>
  <si>
    <t>Kopie uit 3. Prognose BS; Naar RR</t>
  </si>
  <si>
    <t>Onttrekking -/- (kas uitstroom)</t>
  </si>
  <si>
    <t>Indien van toepassing (bijvoorbeeld eenmalige substantiële dotatie/vrijval voorzieningen -&gt; dan ook invoeren in voorzieningen spec)</t>
  </si>
  <si>
    <t>Indien niet-operiationeel resultaat -&gt; afzonderlijk opnemen in RR invoer</t>
  </si>
  <si>
    <t>Investeringen vaste activa</t>
  </si>
  <si>
    <t>Extra aflossing (-/-)</t>
  </si>
  <si>
    <t>Naar Financiële Lasten RR invoer</t>
  </si>
  <si>
    <t>Dotatie voorzieningen</t>
  </si>
  <si>
    <t>Vrijval voorzieningen</t>
  </si>
  <si>
    <t>Onttrekking voorzieningen</t>
  </si>
  <si>
    <t>Mutatie naar kortlopend deel (-/-)</t>
  </si>
  <si>
    <t>Opname als kortlopend deel van LLS per einde jaar.</t>
  </si>
  <si>
    <t>LLS nieuw (+)</t>
  </si>
  <si>
    <t>Totaal aflossing</t>
  </si>
  <si>
    <t>Subtotaal</t>
  </si>
  <si>
    <t>Aantal producten</t>
  </si>
  <si>
    <t>Gem verkoopprijs</t>
  </si>
  <si>
    <t>Productgroep</t>
  </si>
  <si>
    <t>Liquiditeit / EV</t>
  </si>
  <si>
    <t>Exclusief kortlopend deel langlopende schulden en kortlopende rentedragende schulden</t>
  </si>
  <si>
    <t>- Pas de dashboard brongegevens aan om te linken naar de juiste jaren</t>
  </si>
  <si>
    <t>Earnings before Interest Depreciation &amp; Amortizion = Bedrijfsresultaat exclusief afschrijvingen</t>
  </si>
  <si>
    <t>MJP</t>
  </si>
  <si>
    <t>Full Time Equivalent = opgetelde dienstverbanden uitgedrukt in aantal volledige dienstverbanden</t>
  </si>
  <si>
    <t>EUR</t>
  </si>
  <si>
    <t>Euro</t>
  </si>
  <si>
    <t>LLS</t>
  </si>
  <si>
    <t>EV</t>
  </si>
  <si>
    <t>R</t>
  </si>
  <si>
    <t>Realisatie</t>
  </si>
  <si>
    <t>P</t>
  </si>
  <si>
    <t>Prognose</t>
  </si>
  <si>
    <t>TV</t>
  </si>
  <si>
    <t>Totale vermogen</t>
  </si>
  <si>
    <t>p</t>
  </si>
  <si>
    <t>Kleine letter p = prijs</t>
  </si>
  <si>
    <t>q</t>
  </si>
  <si>
    <t>Kleine letter q = aantal</t>
  </si>
  <si>
    <t>De opbrengsten worden bepaald volgens de p * q methode: gemiddelde verkoopprijs (p) * verkoopaantallen (q)</t>
  </si>
  <si>
    <t>Totaal aantal fte (gemiddeld per jaar!)</t>
  </si>
  <si>
    <t>Opbrengsten p*q</t>
  </si>
  <si>
    <t>Gemiddelde stijging structurele overige opbrengsten per prognosejaar</t>
  </si>
  <si>
    <t>Als % van opbrengsten (p*q) productgroep 1</t>
  </si>
  <si>
    <t>Earnings before interest &amp; tax</t>
  </si>
  <si>
    <t>&lt;=Opbrengst per dag * Voorraad dagen&gt;</t>
  </si>
  <si>
    <t>Overige bedrijfskosten variabel + vast</t>
  </si>
  <si>
    <t>&lt;=Overige bedrijfskosten per dag * Crediteuren dagen&gt;</t>
  </si>
  <si>
    <t>Op basis van totale opbrengsten</t>
  </si>
  <si>
    <t>Noot: wijkt af van solvabiliteit; solvabiliteit obv gemiddelde balansstanden</t>
  </si>
  <si>
    <t>Personeelskosten%</t>
  </si>
  <si>
    <t>Tevens kunnen structurele en incidentele overige opbrengsten worden toegevoegd</t>
  </si>
  <si>
    <t>Indien check &lt;&gt; eindwaarde =&gt; controleer mutaties in jaar</t>
  </si>
  <si>
    <t>Aantal producten/diensten (p)</t>
  </si>
  <si>
    <t>Alleen "reguliere" aflossingen, ten behoeve van DSCR ratio</t>
  </si>
  <si>
    <t>= EBITDA / (financiële lasten + reguliere aflossingen)</t>
  </si>
  <si>
    <t>Aflossing exclusief extra aflossing</t>
  </si>
  <si>
    <t>Diverse assen van de grafieken in het dashboard zijn handmatig begrensd met een maximum en minumum waarde om de leesbaarheid te vergroten. Pas indien nodig de assen aan na invoer van de gegevens.</t>
  </si>
  <si>
    <t>Opbrengsten</t>
  </si>
  <si>
    <t>Opbrengsten kan uitgebreid worden naar meerdere productgroepen</t>
  </si>
  <si>
    <t>Overige personeelskosten</t>
  </si>
  <si>
    <t>Gemiddelde opbrengsten per FTE</t>
  </si>
  <si>
    <t>Aantal producten (eenheden)</t>
  </si>
  <si>
    <t>Algemeen</t>
  </si>
  <si>
    <t>Invoer</t>
  </si>
  <si>
    <t>Invoegen van nieuw jaar</t>
  </si>
  <si>
    <t>Er zijn 3 invoer sheets, in sheets rechts van INVOER-&gt;:</t>
  </si>
  <si>
    <t>2. Prognose RR (voor de invoer van de meerjarige prognose van de resultatenrekening)</t>
  </si>
  <si>
    <t>3. Prognose BS (voor de invoer van de meerjarige prognose van de balans)</t>
  </si>
  <si>
    <t>Rapportages:</t>
  </si>
  <si>
    <t>De sheets Dashboard, RR, Balans, Kasstroomoverzicht en Ratio's zijn output sheets en bevatten de rapportages en overzichten. In de output sheets vindt geen invoer plaats.</t>
  </si>
  <si>
    <t>Personeelskosten wordt bepaald aan de hand van de formatie in fte en de gemiddelde personeelskosten per fte</t>
  </si>
  <si>
    <t>Brondata-&gt;</t>
  </si>
  <si>
    <t>Startjaar</t>
  </si>
  <si>
    <t>Het model gaat uit van 2 historische jaren</t>
  </si>
  <si>
    <t>Moet nul zijn</t>
  </si>
  <si>
    <t>Check of activa en passiva gelijk zijn. Moet nul zijn.</t>
  </si>
  <si>
    <t>Check of eigen vermogen mutatie aansluit op resultaat mutatie en dividend uitkering</t>
  </si>
  <si>
    <t>Mutatie in eigen vermogen moet gelijk zijn aan het gerealiseerde resultaat minus dividenduitkering (uitgezonderd voor overige eigen vermogen mutaties)</t>
  </si>
  <si>
    <t>Resultatenrekening realisatie</t>
  </si>
  <si>
    <t>Balans realisatie</t>
  </si>
  <si>
    <t>Indien "CHECK": activa en passiva sluiten mogelijk niet aan, of eigen vermogen mutatie sluit niet aan met resultaat en dividenduitkering</t>
  </si>
  <si>
    <t>1. Realisatie RR en BS invoer</t>
  </si>
  <si>
    <t>2. Prognose Resultatenrekening (RR) invoer</t>
  </si>
  <si>
    <t>3. Prognose Balans (BS) invoer</t>
  </si>
  <si>
    <t>Resultaat na belastingen en check</t>
  </si>
  <si>
    <t>Bestaande MVA</t>
  </si>
  <si>
    <t>Nieuwe MVA</t>
  </si>
  <si>
    <t>Totale MVA</t>
  </si>
  <si>
    <t>Eindwaarde nieuwe MVA</t>
  </si>
  <si>
    <t>Eindwaarde MVA</t>
  </si>
  <si>
    <t>Beginwaarde bestaande MVA</t>
  </si>
  <si>
    <t>Beginwaarde nieuwe MVA</t>
  </si>
  <si>
    <t>Naar 2. Prognose RR</t>
  </si>
  <si>
    <t>Kopie uit 2. Prognose RR</t>
  </si>
  <si>
    <t>Activa optelling excl liq mid</t>
  </si>
  <si>
    <t>Liquide middelen</t>
  </si>
  <si>
    <t>Saldo</t>
  </si>
  <si>
    <t>Kopie 2. Prognose RR</t>
  </si>
  <si>
    <t>Totale overige bedrijfslasten (exclusief personeelslasten); kopie 2. Prognose RR</t>
  </si>
  <si>
    <t>Gemiddeld aantal dagen voorraden beschikbaar</t>
  </si>
  <si>
    <t>Sluitpost berekend onderaan sheet</t>
  </si>
  <si>
    <t>Structurele/jaarlijkse overige opbrengsten</t>
  </si>
  <si>
    <t>Incidentele overige opbrengsten</t>
  </si>
  <si>
    <t>Jaarlijkse stijging overige opbrengsten</t>
  </si>
  <si>
    <t>De invoer in de sheets kan het beste plaatsvinden in volgorde van nummering (van links naar rechts) en van boven naar beneden. De sheets Prognose RR en BS volgen de logische opbouw van de resultatenrekening en balans van boven naar beneden.</t>
  </si>
  <si>
    <t>- Doe hetzelfde voor de invoer sheets 2. Prognose RR en 3. Prognose BS</t>
  </si>
  <si>
    <t>STAP 1:</t>
  </si>
  <si>
    <t>STAP 2:</t>
  </si>
  <si>
    <t>- In sheet "RR": kopieer de kolom van het laatste prognose (P) jaar</t>
  </si>
  <si>
    <t>- Plak (noot: niet insert/invoegen!) de kolom direct naast het laatste prognose (P) jaar</t>
  </si>
  <si>
    <t>- Doe hetzelfde voor de overige sheets (Balans, Kasstroomoverzicht, Ratios en de invoersheets), behalve voor het Dashboard</t>
  </si>
  <si>
    <t>- In sheets met opmerkingen aan rechterkant: verplaats eerst de opmerkingen één kolom naar rechts</t>
  </si>
  <si>
    <t>STAP 3:</t>
  </si>
  <si>
    <t>- Pas de assen van de grafieken aan en de overige "vaste" teksten voor zover nodig</t>
  </si>
  <si>
    <t>Bedragen in grijze cellen zijn handmatige invoer- waarden</t>
  </si>
  <si>
    <t>Als extra aflossing bovenop het reguliere aflossingsschema (wordt niet meegerekend voor DSCR ratio)</t>
  </si>
  <si>
    <t>Exclusief kortlopend deel van langlopende schulden</t>
  </si>
  <si>
    <t>Bestaande Langlopende Schulden (LLS)</t>
  </si>
  <si>
    <t>LLS kan opgesplits worden naar afzonderlijke bestaande leningdelen</t>
  </si>
  <si>
    <t>Inclusief kortlopend deel</t>
  </si>
  <si>
    <t>Aflossing vanuit kortlopend deel plus extra aflossing</t>
  </si>
  <si>
    <t>Alleen nieuwe leningen in historische jaren</t>
  </si>
  <si>
    <t>Financiële lasten langkopende schulden</t>
  </si>
  <si>
    <t>Financiële lasten kortlopende schulden</t>
  </si>
  <si>
    <t>Fin lasten langlopende en kortlopende schulden gesplitst</t>
  </si>
  <si>
    <t>Rente bestaande LLS</t>
  </si>
  <si>
    <t>Nieuwe Langlopende Schulden (LLS)</t>
  </si>
  <si>
    <t>Nieuwe leningen in prognose jaren</t>
  </si>
  <si>
    <t>Totaal Langlopende Schulden (LLS)</t>
  </si>
  <si>
    <t>Totale aflossing</t>
  </si>
  <si>
    <t>Totale stand langlopende schuld</t>
  </si>
  <si>
    <t>Bestaande plus nieuwe leningen</t>
  </si>
  <si>
    <t>Opname als kortlopend deel van LLS per einde jaar; naar BS (-)</t>
  </si>
  <si>
    <t>Rente Langlopende Schulden</t>
  </si>
  <si>
    <t>De prognose BS invoersheet heeft afzonderlijke invoervelden voor nieuwe en bestaande investeringen en langlopende leningen. Nieuwe investeringen en nieuwe leningen kunnen op praktische wijze afzonderlijk worden ingevoerd, met afzonderlijke afschrijvingen en afzonderlijke aflossingen en rentepercentages.</t>
  </si>
  <si>
    <t>Earnings Before Interest &amp; Tax = Bedrijfsresultaat</t>
  </si>
  <si>
    <t>Gemiddelde prijsstijging personeelskosten</t>
  </si>
  <si>
    <t>Gemiddelde pers kosten per fte per jaar</t>
  </si>
  <si>
    <t>Meerdere functiegroepen (intern/extern/niveaus) toe te voegen indien relevant</t>
  </si>
  <si>
    <t>Alle fte gerelateerde personeelskosten inclusief sociale lasten/pensioen/etc</t>
  </si>
  <si>
    <t>Totale fte gerelateerde personeelskosten</t>
  </si>
  <si>
    <t>Overige personeelskosten niet fte gerelateerd</t>
  </si>
  <si>
    <t>KnowYourFinance</t>
  </si>
  <si>
    <t>U kunt contact opnemen met KnowYourFinance bij vragen over het model, of indien u klant-specifieke wensen en toepassingen heeft. We waarderen uw feedback over het model en het delen van uw gebruikservaringen. Wij nodigen u uit een email te sturen of onze webstite te bezoeken via onderstaande links.</t>
  </si>
  <si>
    <t>info@knowyourfinance.nl</t>
  </si>
  <si>
    <t>https://knowyourfinance.nl</t>
  </si>
  <si>
    <t>Model kenmerken en toepasbaarheid</t>
  </si>
  <si>
    <r>
      <rPr>
        <b/>
        <sz val="11"/>
        <rFont val="Calibri"/>
        <family val="2"/>
        <scheme val="minor"/>
      </rPr>
      <t>Model type:</t>
    </r>
    <r>
      <rPr>
        <sz val="11"/>
        <rFont val="Calibri"/>
        <family val="2"/>
        <scheme val="minor"/>
      </rPr>
      <t xml:space="preserve"> Meerjarenplanning resultatenrekening, balans en kasstroomoverzicht</t>
    </r>
  </si>
  <si>
    <r>
      <t xml:space="preserve">Bedragen in </t>
    </r>
    <r>
      <rPr>
        <sz val="11"/>
        <color rgb="FF00B050"/>
        <rFont val="Calibri"/>
        <family val="2"/>
        <scheme val="minor"/>
      </rPr>
      <t>groen</t>
    </r>
    <r>
      <rPr>
        <sz val="11"/>
        <rFont val="Calibri"/>
        <family val="2"/>
        <scheme val="minor"/>
      </rPr>
      <t xml:space="preserve"> in de invoersheets zijn gelinkt vanuit een andere sheet</t>
    </r>
  </si>
  <si>
    <t>- In de sheet "Dashboard" in de brondata aan de rechterkant: kopieer het laatste P jaar en plak de kolom direct naast het laatste jaar</t>
  </si>
  <si>
    <t>KnowYourFinance en/of de auteur kunnen niet verantwoordelijk worden gehouden voor een juiste werking van het model in uw specifieke organisatie/onderneming. Ook kunnen KnowYourFinance en/of de auteur niet aansprakelijk worden gesteld voor onjuistheden in het model. KnowYourFinance hecht veel waarde aan kwaliteit en een zinvol gebruik van het model. In het geval van gesignaleerde onjuistheden of onvolkomenheden, zal KnowYourFinance deze zo spoedig mogelijk oplossen, in afstemming met de gebruiker(s) van het model.</t>
  </si>
  <si>
    <t>KnowYourFinance en de auteur zijn niet verantwoordelijk voor besluitvorming (of achterwege blijven hiervan) op basis van het model, zowel niet in de oorspronkelijke vorm als in aangepaste vorm.</t>
  </si>
  <si>
    <r>
      <t xml:space="preserve">- Plak (noot: niet insert/invoegen!) de kolom </t>
    </r>
    <r>
      <rPr>
        <i/>
        <sz val="11"/>
        <color theme="1"/>
        <rFont val="Calibri"/>
        <family val="2"/>
        <scheme val="minor"/>
      </rPr>
      <t>over</t>
    </r>
    <r>
      <rPr>
        <sz val="11"/>
        <color theme="1"/>
        <rFont val="Calibri"/>
        <family val="2"/>
        <scheme val="minor"/>
      </rPr>
      <t xml:space="preserve"> het eerste  "Prognose" (P) jaar</t>
    </r>
  </si>
  <si>
    <t>Invoer eerste prognosejaar</t>
  </si>
  <si>
    <t>Huisvestingslasten</t>
  </si>
  <si>
    <t>Totale lasten</t>
  </si>
  <si>
    <t>Overige kosten</t>
  </si>
  <si>
    <t>Netto resultaat %</t>
  </si>
  <si>
    <t>Operationeel resultaat (EBIT)</t>
  </si>
  <si>
    <t>Gemiddelde verkoopprijs in €</t>
  </si>
  <si>
    <t>Bedragen in EUR x 1.000 tenzijn anders aangegeven</t>
  </si>
  <si>
    <t>Fte gerelateerde personeelskosten</t>
  </si>
  <si>
    <t>Huisvestingslasten (berekend)</t>
  </si>
  <si>
    <t>Incidentele huisvestingslasten (handmatig)</t>
  </si>
  <si>
    <t>Incidentele overige kosten (handmatig)</t>
  </si>
  <si>
    <t>Materiële kosten</t>
  </si>
  <si>
    <t>Totale lasten incl personeelslasten</t>
  </si>
  <si>
    <t>Overige kosten (berekend)</t>
  </si>
  <si>
    <t>Check; eindwaarde MVA moet zijn:</t>
  </si>
  <si>
    <t>Check; eindstand moet gelijk zjn aan:</t>
  </si>
  <si>
    <t>Nieuwe investeringen prognosejaren worden hieronder in te voeren</t>
  </si>
  <si>
    <t>Nieuwe LLS voor prognosejaren hieronder in te voeren</t>
  </si>
  <si>
    <t>LLS nieuw realisatiejaren (+)</t>
  </si>
  <si>
    <t>Vul in deze sectie de gerealiseerde resultaten in voor de 2 realisatiejaren</t>
  </si>
  <si>
    <t>Vul in deze sectie de gerealiseerde balansbedragen in voor de 2 realisatiejaren</t>
  </si>
  <si>
    <t>Netto Resultaat %</t>
  </si>
  <si>
    <t>Error checks</t>
  </si>
  <si>
    <t>Model checks</t>
  </si>
  <si>
    <t>Sheet</t>
  </si>
  <si>
    <t>ErrorChecks</t>
  </si>
  <si>
    <t>Master check</t>
  </si>
  <si>
    <t>1. Realisatie RR en BS</t>
  </si>
  <si>
    <t>Balans historische activa en passiva sluiten niet aan</t>
  </si>
  <si>
    <t>Historische EV mutatie sluit niet aan bij nettoresultaat en dividend uitkering</t>
  </si>
  <si>
    <t>2. Prognose RR</t>
  </si>
  <si>
    <t>Resultaat rapport RR en 2. Prognose RR sluiten niet aan</t>
  </si>
  <si>
    <t>Historisch resultaat in 1. Realisatie RR en BS en in 2. Prognose RR sluiten niet aan</t>
  </si>
  <si>
    <t>Afschrijvingen 3. Prognose BS zijn ongelijk aan afschrijvingslasten 3. Prognose RR</t>
  </si>
  <si>
    <t>3. Prognose BS</t>
  </si>
  <si>
    <t>Beginstand voorzieningen in laatste realisatiejaar is ongelijk aan Eindstand vorig jaar</t>
  </si>
  <si>
    <t>Beginstand langlopende schuld in laatste realisatiejaar is ongelijk aan Eindstand vorig jaar</t>
  </si>
  <si>
    <t>Activa en passiva zijn ongelijk</t>
  </si>
  <si>
    <t>Activa en passiva in 3. Prognose BS zijn ongelijk aan rapport Balans</t>
  </si>
  <si>
    <t>Activa en passiva sluiten niet aan</t>
  </si>
  <si>
    <t>Eindstand liquide middelen KSO sluit niet aan met Balans</t>
  </si>
  <si>
    <t>Netto resultaat optelling</t>
  </si>
  <si>
    <t>Netto resultaat vanuit 1. Realisatie RR en BS</t>
  </si>
  <si>
    <t>Kopie uit 1. Realisatie RR en BS</t>
  </si>
  <si>
    <t>Afschrijvingen BS</t>
  </si>
  <si>
    <t>Afschrijvingslasten RR</t>
  </si>
  <si>
    <t>Eindstand voorziening laatste realisatiejaar</t>
  </si>
  <si>
    <t>Eindstand optelling in huidige sheet</t>
  </si>
  <si>
    <t>Check, verschil moet nul zijn</t>
  </si>
  <si>
    <t>Check totaal</t>
  </si>
  <si>
    <t>Eindstand laatste realisatie moet gelijk zijn aan invoer 1. Realisatie RR en BS</t>
  </si>
  <si>
    <t>Eindstand LLS invoer 1. Realisatie RR en BS</t>
  </si>
  <si>
    <t>Kopie 1. Realisatie RR en BS</t>
  </si>
  <si>
    <t>Kopie huidige sheet</t>
  </si>
  <si>
    <t>Het model is generiek van opzet, dat als voorbeeld kan dienen voor de financiële planning van organisaties en ondernemingen. Het model is niet zondermeer standaard toepasbaar in uw organisatie en/of uw situatie.  Mogelijk moeten aanpassingen gedaan worden om het model te laten aansluiten op uw specifieke omstandigheden, eisen en wensen. Voldoende kennis van excel en financieel modelleren is noodzakelijk voor het aanpassen van het model, het geschikt maken voor een specifieke bedrijfssituatie en het gebruik van het model. Vraag advies van KYF over de geschiktheid, de benodigde aanpassingen en het gebruik van het model.</t>
  </si>
  <si>
    <t>Het model kan vrij gebruikt worden als aanzet voor eigen gebruik en ten behoeve van ontwikkeling van de eigen kennis.</t>
  </si>
  <si>
    <t>Het model kan gebruikt voor onderwijskundige doeleinden in klassikale onderwijsvormen en voor praktijkgerichte case studies na toestemming van KYF en onder de voorwaarde dat copyright en intellectuele eigendom van het model worden gerespecteerd.</t>
  </si>
  <si>
    <t>KnowYourFinance is intellectueel eigenaar van het model. Het is niet toegestaan in welke vorm dan ook het model of gedeelten ervan (in oorspronkelijke of aangepaste vorm) te verspreiden of te delen met derden (tegen een vergoeding noch kosteloos), met uitzondering van deling van het model ten behoeve van gebruik en kennisdeling binnen de eigen organisatie/onderneming. In alle gevallen worden de copyright en het intellectuele eigendom van het model gerespecteerd.</t>
  </si>
  <si>
    <t>KnowYourFinance heeft als doel organisaties te ondersteunen bij de financiële planning, analyse en besluitvorming en de kennis over financiële analyse, planning en modelleren praktisch beschikbaar te stellen.</t>
  </si>
  <si>
    <r>
      <rPr>
        <b/>
        <sz val="11"/>
        <rFont val="Calibri"/>
        <family val="2"/>
        <scheme val="minor"/>
      </rPr>
      <t>Toepassing:</t>
    </r>
    <r>
      <rPr>
        <sz val="11"/>
        <rFont val="Calibri"/>
        <family val="2"/>
        <scheme val="minor"/>
      </rPr>
      <t xml:space="preserve"> Het model dient als voorbeeld voor de financiële meerjarenplanning van vele typen ondernemingen en organisaties in de profit en non-profit sector. De resultatenrekening is categoraal opgezet, met verdeling naar personeelslasten, afschrijvingslastenm huisvestingslasten en overige lasten.</t>
    </r>
  </si>
  <si>
    <r>
      <rPr>
        <b/>
        <sz val="11"/>
        <rFont val="Calibri"/>
        <family val="2"/>
        <scheme val="minor"/>
      </rPr>
      <t>Minder geschikt voor:</t>
    </r>
    <r>
      <rPr>
        <sz val="11"/>
        <rFont val="Calibri"/>
        <family val="2"/>
        <scheme val="minor"/>
      </rPr>
      <t xml:space="preserve"> Het model geeft in de huidige vorm geen brutomarge weer in de resultatenrekening. Raadpleeg de download pagina van KYF voor het model inclusief brutomarge.
Het model omvat de planning van de resultatenrekening, balans en kasstroomoverzicht. Indien u alleen de resultatenrekening wilt plannen, verwijzen we naar het eenvoudigere model Meerjarenplanning financiële resultaten van KYF.</t>
    </r>
  </si>
  <si>
    <t>Het model sluit aan bij de essentiële componenten van de financiële bedrijfsvoering: aantal verkopen, gemiddelde verkoopprijs, fte, gemiddelde personeelskosten en materiële kosten.</t>
  </si>
  <si>
    <t>Materiële kosten zijn opgedeeld naar afschrijvingslasten (overgenomen vanuit de BS), huisvestingslasten en overige kosten.</t>
  </si>
  <si>
    <t>1. Realisatie RR en BS (voor invoer van het startjaar en de invoer van de realisatie jaren)</t>
  </si>
  <si>
    <t>Het model bevat een afzonderelijke ErrorCheck sheet waarin alle gangbare model checks zijn weergegeven. De totale master check, als optelling van alle afzonderlijke checks, wordt in elke sheet bovenaan weergegeven.</t>
  </si>
  <si>
    <t>- In sheet 1. Realisatie RR en BS: kopieer de kolom van het laatste "realisatie" (R)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</si>
</sst>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 #,##0.0_ ;_ * \-#,##0.0_ ;_ * &quot;-&quot;??_ ;_ @_ "/>
    <numFmt numFmtId="165" formatCode="0.0"/>
    <numFmt numFmtId="166" formatCode="#,##0.0"/>
    <numFmt numFmtId="167" formatCode="0.0%"/>
    <numFmt numFmtId="168" formatCode="&quot;€&quot;\ #,##0;\-&quot;€&quot;\ #,##0;\-"/>
  </numFmts>
  <fonts count="45" x14ac:knownFonts="1">
    <font>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sz val="9"/>
      <color theme="1"/>
      <name val="Calibri"/>
      <family val="2"/>
      <scheme val="minor"/>
    </font>
    <font>
      <sz val="11"/>
      <color theme="1"/>
      <name val="Calibri"/>
      <family val="2"/>
    </font>
    <font>
      <i/>
      <sz val="9"/>
      <color theme="1"/>
      <name val="Calibri"/>
      <family val="2"/>
      <scheme val="minor"/>
    </font>
    <font>
      <b/>
      <sz val="12"/>
      <color theme="1"/>
      <name val="Calibri"/>
      <family val="2"/>
      <scheme val="minor"/>
    </font>
    <font>
      <i/>
      <sz val="9"/>
      <color theme="0"/>
      <name val="Calibri"/>
      <family val="2"/>
      <scheme val="minor"/>
    </font>
    <font>
      <b/>
      <sz val="12"/>
      <name val="Calibri"/>
      <family val="2"/>
      <scheme val="minor"/>
    </font>
    <font>
      <i/>
      <sz val="9"/>
      <name val="Calibri"/>
      <family val="2"/>
      <scheme val="minor"/>
    </font>
    <font>
      <i/>
      <sz val="8"/>
      <color theme="1"/>
      <name val="Calibri"/>
      <family val="2"/>
      <scheme val="minor"/>
    </font>
    <font>
      <b/>
      <sz val="9"/>
      <name val="Calibri"/>
      <family val="2"/>
      <scheme val="minor"/>
    </font>
    <font>
      <sz val="9"/>
      <name val="Calibri"/>
      <family val="2"/>
      <scheme val="minor"/>
    </font>
    <font>
      <sz val="11"/>
      <name val="Calibri"/>
      <family val="2"/>
    </font>
    <font>
      <sz val="10"/>
      <color theme="1"/>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i/>
      <sz val="10"/>
      <color theme="1" tint="0.499984740745262"/>
      <name val="Calibri"/>
      <family val="2"/>
      <scheme val="minor"/>
    </font>
    <font>
      <i/>
      <sz val="10"/>
      <color theme="0" tint="-0.249977111117893"/>
      <name val="Calibri"/>
      <family val="2"/>
      <scheme val="minor"/>
    </font>
    <font>
      <sz val="10"/>
      <color theme="0" tint="-0.249977111117893"/>
      <name val="Calibri"/>
      <family val="2"/>
      <scheme val="minor"/>
    </font>
    <font>
      <sz val="10"/>
      <name val="Calibri"/>
      <family val="2"/>
      <scheme val="minor"/>
    </font>
    <font>
      <sz val="10"/>
      <color theme="1" tint="0.499984740745262"/>
      <name val="Calibri"/>
      <family val="2"/>
      <scheme val="minor"/>
    </font>
    <font>
      <b/>
      <sz val="10"/>
      <name val="Calibri"/>
      <family val="2"/>
      <scheme val="minor"/>
    </font>
    <font>
      <i/>
      <sz val="11"/>
      <name val="Calibri"/>
      <family val="2"/>
      <scheme val="minor"/>
    </font>
    <font>
      <i/>
      <sz val="9"/>
      <color theme="1" tint="0.499984740745262"/>
      <name val="Calibri"/>
      <family val="2"/>
      <scheme val="minor"/>
    </font>
    <font>
      <b/>
      <sz val="10"/>
      <color rgb="FF00B050"/>
      <name val="Calibri"/>
      <family val="2"/>
      <scheme val="minor"/>
    </font>
    <font>
      <sz val="10"/>
      <color rgb="FF00B050"/>
      <name val="Calibri"/>
      <family val="2"/>
      <scheme val="minor"/>
    </font>
    <font>
      <i/>
      <sz val="10"/>
      <name val="Calibri"/>
      <family val="2"/>
      <scheme val="minor"/>
    </font>
    <font>
      <i/>
      <sz val="10"/>
      <color rgb="FF00B050"/>
      <name val="Calibri"/>
      <family val="2"/>
      <scheme val="minor"/>
    </font>
    <font>
      <u/>
      <sz val="10"/>
      <color theme="1"/>
      <name val="Calibri"/>
      <family val="2"/>
      <scheme val="minor"/>
    </font>
    <font>
      <u/>
      <sz val="10"/>
      <name val="Calibri"/>
      <family val="2"/>
      <scheme val="minor"/>
    </font>
    <font>
      <i/>
      <sz val="11"/>
      <color theme="0" tint="-0.249977111117893"/>
      <name val="Calibri"/>
      <family val="2"/>
      <scheme val="minor"/>
    </font>
    <font>
      <b/>
      <i/>
      <sz val="10"/>
      <color theme="1"/>
      <name val="Calibri"/>
      <family val="2"/>
      <scheme val="minor"/>
    </font>
    <font>
      <u/>
      <sz val="11"/>
      <color theme="10"/>
      <name val="Calibri"/>
      <family val="2"/>
      <scheme val="minor"/>
    </font>
    <font>
      <sz val="11"/>
      <color theme="1"/>
      <name val="Segoe UI"/>
      <family val="2"/>
    </font>
    <font>
      <b/>
      <u/>
      <sz val="11"/>
      <color theme="9"/>
      <name val="Calibri"/>
      <family val="2"/>
      <scheme val="minor"/>
    </font>
    <font>
      <sz val="11"/>
      <color rgb="FF00B050"/>
      <name val="Calibri"/>
      <family val="2"/>
      <scheme val="minor"/>
    </font>
    <font>
      <b/>
      <sz val="10"/>
      <color theme="0" tint="-0.14999847407452621"/>
      <name val="Calibri"/>
      <family val="2"/>
      <scheme val="minor"/>
    </font>
    <font>
      <sz val="11"/>
      <color theme="0" tint="-0.249977111117893"/>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tint="-9.9978637043366805E-2"/>
        <bgColor indexed="64"/>
      </patternFill>
    </fill>
  </fills>
  <borders count="6">
    <border>
      <left/>
      <right/>
      <top/>
      <bottom/>
      <diagonal/>
    </border>
    <border>
      <left/>
      <right style="thin">
        <color theme="0"/>
      </right>
      <top/>
      <bottom/>
      <diagonal/>
    </border>
    <border>
      <left/>
      <right/>
      <top style="thin">
        <color indexed="64"/>
      </top>
      <bottom/>
      <diagonal/>
    </border>
    <border>
      <left/>
      <right/>
      <top style="thin">
        <color indexed="64"/>
      </top>
      <bottom style="double">
        <color indexed="64"/>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39" fillId="0" borderId="0" applyNumberFormat="0" applyFill="0" applyBorder="0" applyAlignment="0" applyProtection="0"/>
  </cellStyleXfs>
  <cellXfs count="216">
    <xf numFmtId="0" fontId="0" fillId="0" borderId="0" xfId="0"/>
    <xf numFmtId="3" fontId="0" fillId="0" borderId="0" xfId="0" applyNumberFormat="1"/>
    <xf numFmtId="0" fontId="1" fillId="0" borderId="0" xfId="0" applyFont="1"/>
    <xf numFmtId="0" fontId="4" fillId="0" borderId="0" xfId="0" applyFont="1"/>
    <xf numFmtId="0" fontId="0" fillId="2" borderId="0" xfId="0" applyFill="1"/>
    <xf numFmtId="0" fontId="1" fillId="2" borderId="0" xfId="0" applyFont="1" applyFill="1"/>
    <xf numFmtId="0" fontId="2" fillId="2" borderId="0" xfId="0" applyFont="1" applyFill="1" applyAlignment="1">
      <alignment vertical="top" wrapText="1"/>
    </xf>
    <xf numFmtId="0" fontId="0" fillId="0" borderId="0" xfId="0" applyAlignment="1">
      <alignment vertical="top" wrapText="1"/>
    </xf>
    <xf numFmtId="0" fontId="0" fillId="0" borderId="0" xfId="0" quotePrefix="1" applyAlignment="1">
      <alignment vertical="top" wrapText="1"/>
    </xf>
    <xf numFmtId="0" fontId="8" fillId="0" borderId="0" xfId="0" applyFont="1"/>
    <xf numFmtId="0" fontId="9" fillId="0" borderId="0" xfId="0" applyFont="1"/>
    <xf numFmtId="0" fontId="10" fillId="0" borderId="0" xfId="0" applyFont="1"/>
    <xf numFmtId="0" fontId="11" fillId="0" borderId="0" xfId="0" applyFont="1"/>
    <xf numFmtId="0" fontId="10" fillId="0" borderId="0" xfId="0" applyFont="1" applyAlignment="1">
      <alignment horizontal="right"/>
    </xf>
    <xf numFmtId="0" fontId="7" fillId="2" borderId="0" xfId="0" applyFont="1" applyFill="1" applyAlignment="1">
      <alignment horizontal="center"/>
    </xf>
    <xf numFmtId="0" fontId="7" fillId="2" borderId="0" xfId="0" applyFont="1" applyFill="1"/>
    <xf numFmtId="0" fontId="6" fillId="2" borderId="0" xfId="0" applyFont="1" applyFill="1"/>
    <xf numFmtId="0" fontId="3" fillId="0" borderId="0" xfId="0" applyFont="1" applyAlignment="1">
      <alignment horizontal="center"/>
    </xf>
    <xf numFmtId="0" fontId="3" fillId="3" borderId="0" xfId="0" applyFont="1" applyFill="1"/>
    <xf numFmtId="0" fontId="3" fillId="3" borderId="0" xfId="0" applyFont="1" applyFill="1" applyAlignment="1">
      <alignment horizontal="center"/>
    </xf>
    <xf numFmtId="0" fontId="3" fillId="0" borderId="1" xfId="0" applyFont="1" applyBorder="1" applyAlignment="1">
      <alignment horizontal="center"/>
    </xf>
    <xf numFmtId="167" fontId="0" fillId="0" borderId="0" xfId="0" applyNumberFormat="1"/>
    <xf numFmtId="9" fontId="0" fillId="0" borderId="0" xfId="0" applyNumberFormat="1"/>
    <xf numFmtId="0" fontId="13" fillId="0" borderId="4" xfId="0" applyFont="1" applyBorder="1"/>
    <xf numFmtId="0" fontId="6" fillId="0" borderId="4" xfId="0" applyFont="1" applyBorder="1"/>
    <xf numFmtId="0" fontId="14" fillId="0" borderId="4" xfId="0" applyFont="1" applyBorder="1" applyAlignment="1">
      <alignment horizontal="right"/>
    </xf>
    <xf numFmtId="0" fontId="6" fillId="0" borderId="0" xfId="0" applyFont="1"/>
    <xf numFmtId="165" fontId="0" fillId="0" borderId="0" xfId="0" applyNumberFormat="1"/>
    <xf numFmtId="0" fontId="15" fillId="0" borderId="0" xfId="0" applyFont="1" applyAlignment="1">
      <alignment vertical="top"/>
    </xf>
    <xf numFmtId="0" fontId="6" fillId="0" borderId="0" xfId="0" applyFont="1" applyAlignment="1">
      <alignment vertical="top" wrapText="1"/>
    </xf>
    <xf numFmtId="0" fontId="4" fillId="0" borderId="0" xfId="0" applyFont="1" applyAlignment="1">
      <alignment vertical="top" wrapText="1"/>
    </xf>
    <xf numFmtId="0" fontId="0" fillId="0" borderId="4" xfId="0" applyBorder="1"/>
    <xf numFmtId="0" fontId="13" fillId="2" borderId="0" xfId="0" applyFont="1" applyFill="1"/>
    <xf numFmtId="0" fontId="14" fillId="2" borderId="0" xfId="0" applyFont="1" applyFill="1" applyAlignment="1">
      <alignment horizontal="right"/>
    </xf>
    <xf numFmtId="0" fontId="13" fillId="0" borderId="0" xfId="0" applyFont="1"/>
    <xf numFmtId="0" fontId="16" fillId="0" borderId="0" xfId="0" applyFont="1"/>
    <xf numFmtId="0" fontId="7" fillId="0" borderId="0" xfId="0" applyFont="1"/>
    <xf numFmtId="0" fontId="7" fillId="0" borderId="0" xfId="0" applyFont="1" applyAlignment="1">
      <alignment horizontal="center"/>
    </xf>
    <xf numFmtId="0" fontId="10" fillId="0" borderId="4" xfId="0" applyFont="1" applyBorder="1"/>
    <xf numFmtId="0" fontId="17" fillId="2" borderId="0" xfId="0" applyFont="1" applyFill="1"/>
    <xf numFmtId="0" fontId="18" fillId="2" borderId="0" xfId="0" applyFont="1" applyFill="1"/>
    <xf numFmtId="0" fontId="7" fillId="2" borderId="1" xfId="0" applyFont="1" applyFill="1" applyBorder="1" applyAlignment="1">
      <alignment horizontal="center"/>
    </xf>
    <xf numFmtId="0" fontId="18" fillId="0" borderId="0" xfId="0" applyFont="1"/>
    <xf numFmtId="0" fontId="14" fillId="0" borderId="0" xfId="0" applyFont="1" applyAlignment="1">
      <alignment horizontal="right"/>
    </xf>
    <xf numFmtId="0" fontId="19" fillId="0" borderId="0" xfId="0" applyFont="1"/>
    <xf numFmtId="3" fontId="19" fillId="0" borderId="0" xfId="0" applyNumberFormat="1" applyFont="1"/>
    <xf numFmtId="0" fontId="20" fillId="0" borderId="0" xfId="0" applyFont="1"/>
    <xf numFmtId="3" fontId="20" fillId="0" borderId="0" xfId="0" applyNumberFormat="1" applyFont="1"/>
    <xf numFmtId="166" fontId="19" fillId="0" borderId="0" xfId="0" applyNumberFormat="1" applyFont="1"/>
    <xf numFmtId="167" fontId="19" fillId="0" borderId="0" xfId="0" applyNumberFormat="1" applyFont="1"/>
    <xf numFmtId="0" fontId="21" fillId="0" borderId="0" xfId="0" applyFont="1" applyAlignment="1">
      <alignment horizontal="center"/>
    </xf>
    <xf numFmtId="0" fontId="19" fillId="0" borderId="0" xfId="0" quotePrefix="1" applyFont="1" applyAlignment="1">
      <alignment horizontal="center"/>
    </xf>
    <xf numFmtId="0" fontId="22" fillId="0" borderId="0" xfId="0" applyFont="1"/>
    <xf numFmtId="0" fontId="23" fillId="0" borderId="0" xfId="0" applyFont="1" applyAlignment="1">
      <alignment horizontal="center"/>
    </xf>
    <xf numFmtId="0" fontId="19" fillId="2" borderId="0" xfId="0" applyFont="1" applyFill="1"/>
    <xf numFmtId="0" fontId="20" fillId="2" borderId="0" xfId="0" applyFont="1" applyFill="1"/>
    <xf numFmtId="0" fontId="24" fillId="0" borderId="0" xfId="0" applyFont="1"/>
    <xf numFmtId="3" fontId="24" fillId="0" borderId="0" xfId="0" applyNumberFormat="1" applyFont="1"/>
    <xf numFmtId="0" fontId="25" fillId="0" borderId="0" xfId="0" applyFont="1"/>
    <xf numFmtId="0" fontId="21" fillId="2" borderId="0" xfId="0" applyFont="1" applyFill="1"/>
    <xf numFmtId="3" fontId="26" fillId="0" borderId="0" xfId="0" applyNumberFormat="1" applyFont="1"/>
    <xf numFmtId="0" fontId="20" fillId="0" borderId="0" xfId="0" quotePrefix="1" applyFont="1" applyAlignment="1">
      <alignment horizontal="center"/>
    </xf>
    <xf numFmtId="167" fontId="26" fillId="2" borderId="0" xfId="0" applyNumberFormat="1" applyFont="1" applyFill="1"/>
    <xf numFmtId="0" fontId="28" fillId="2" borderId="0" xfId="0" applyFont="1" applyFill="1"/>
    <xf numFmtId="0" fontId="28" fillId="2" borderId="0" xfId="0" applyFont="1" applyFill="1" applyAlignment="1">
      <alignment horizontal="center"/>
    </xf>
    <xf numFmtId="167" fontId="26" fillId="0" borderId="0" xfId="2" applyNumberFormat="1" applyFont="1"/>
    <xf numFmtId="0" fontId="26" fillId="0" borderId="0" xfId="0" applyFont="1"/>
    <xf numFmtId="3" fontId="26" fillId="2" borderId="0" xfId="0" applyNumberFormat="1" applyFont="1" applyFill="1"/>
    <xf numFmtId="0" fontId="20" fillId="0" borderId="0" xfId="0" quotePrefix="1" applyFont="1" applyAlignment="1">
      <alignment horizontal="right"/>
    </xf>
    <xf numFmtId="0" fontId="19" fillId="0" borderId="0" xfId="0" applyFont="1" applyAlignment="1">
      <alignment horizontal="right"/>
    </xf>
    <xf numFmtId="3" fontId="19" fillId="2" borderId="0" xfId="0" applyNumberFormat="1" applyFont="1" applyFill="1"/>
    <xf numFmtId="167" fontId="27" fillId="0" borderId="0" xfId="0" applyNumberFormat="1" applyFont="1"/>
    <xf numFmtId="167" fontId="20" fillId="0" borderId="0" xfId="0" applyNumberFormat="1" applyFont="1"/>
    <xf numFmtId="0" fontId="28" fillId="0" borderId="0" xfId="0" applyFont="1"/>
    <xf numFmtId="167" fontId="26" fillId="0" borderId="0" xfId="0" applyNumberFormat="1" applyFont="1"/>
    <xf numFmtId="167" fontId="26" fillId="2" borderId="0" xfId="2" applyNumberFormat="1" applyFont="1" applyFill="1"/>
    <xf numFmtId="167" fontId="26" fillId="0" borderId="0" xfId="0" quotePrefix="1" applyNumberFormat="1" applyFont="1" applyAlignment="1">
      <alignment horizontal="right"/>
    </xf>
    <xf numFmtId="167" fontId="26" fillId="0" borderId="0" xfId="2" quotePrefix="1" applyNumberFormat="1" applyFont="1" applyAlignment="1">
      <alignment horizontal="right"/>
    </xf>
    <xf numFmtId="167" fontId="20" fillId="0" borderId="2" xfId="0" applyNumberFormat="1" applyFont="1" applyBorder="1"/>
    <xf numFmtId="167" fontId="20" fillId="0" borderId="3" xfId="0" applyNumberFormat="1" applyFont="1" applyBorder="1"/>
    <xf numFmtId="0" fontId="26" fillId="2" borderId="0" xfId="0" applyFont="1" applyFill="1"/>
    <xf numFmtId="0" fontId="12" fillId="0" borderId="0" xfId="0" applyFont="1" applyAlignment="1">
      <alignment horizontal="right"/>
    </xf>
    <xf numFmtId="0" fontId="2" fillId="0" borderId="0" xfId="0" applyFont="1" applyAlignment="1">
      <alignment vertical="top" wrapText="1"/>
    </xf>
    <xf numFmtId="0" fontId="29" fillId="0" borderId="0" xfId="0" applyFont="1" applyAlignment="1">
      <alignment vertical="top" wrapText="1"/>
    </xf>
    <xf numFmtId="0" fontId="26" fillId="0" borderId="0" xfId="0" applyFont="1" applyAlignment="1">
      <alignment horizontal="left"/>
    </xf>
    <xf numFmtId="0" fontId="25" fillId="2" borderId="0" xfId="0" applyFont="1" applyFill="1"/>
    <xf numFmtId="3" fontId="20" fillId="2" borderId="0" xfId="0" applyNumberFormat="1" applyFont="1" applyFill="1"/>
    <xf numFmtId="0" fontId="24" fillId="2" borderId="0" xfId="0" applyFont="1" applyFill="1"/>
    <xf numFmtId="3" fontId="22" fillId="0" borderId="0" xfId="0" applyNumberFormat="1" applyFont="1"/>
    <xf numFmtId="0" fontId="30" fillId="0" borderId="0" xfId="0" applyFont="1" applyAlignment="1">
      <alignment horizontal="center"/>
    </xf>
    <xf numFmtId="0" fontId="8" fillId="2" borderId="0" xfId="0" applyFont="1" applyFill="1"/>
    <xf numFmtId="3" fontId="19" fillId="0" borderId="0" xfId="0" quotePrefix="1" applyNumberFormat="1" applyFont="1" applyAlignment="1">
      <alignment horizontal="right"/>
    </xf>
    <xf numFmtId="166" fontId="19" fillId="0" borderId="0" xfId="0" quotePrefix="1" applyNumberFormat="1" applyFont="1" applyAlignment="1">
      <alignment horizontal="right"/>
    </xf>
    <xf numFmtId="167" fontId="19" fillId="0" borderId="0" xfId="0" quotePrefix="1" applyNumberFormat="1" applyFont="1" applyAlignment="1">
      <alignment horizontal="right"/>
    </xf>
    <xf numFmtId="0" fontId="19" fillId="0" borderId="0" xfId="0" quotePrefix="1" applyFont="1" applyAlignment="1">
      <alignment horizontal="right"/>
    </xf>
    <xf numFmtId="0" fontId="19" fillId="2" borderId="0" xfId="0" quotePrefix="1" applyFont="1" applyFill="1"/>
    <xf numFmtId="9" fontId="19" fillId="0" borderId="0" xfId="2" applyFont="1"/>
    <xf numFmtId="9" fontId="19" fillId="0" borderId="0" xfId="0" applyNumberFormat="1" applyFont="1"/>
    <xf numFmtId="9" fontId="20" fillId="0" borderId="2" xfId="0" applyNumberFormat="1" applyFont="1" applyBorder="1"/>
    <xf numFmtId="9" fontId="20" fillId="0" borderId="0" xfId="0" applyNumberFormat="1" applyFont="1"/>
    <xf numFmtId="9" fontId="20" fillId="0" borderId="3" xfId="0" applyNumberFormat="1" applyFont="1" applyBorder="1"/>
    <xf numFmtId="0" fontId="10" fillId="2" borderId="0" xfId="0" applyFont="1" applyFill="1"/>
    <xf numFmtId="9" fontId="26" fillId="0" borderId="0" xfId="0" applyNumberFormat="1" applyFont="1"/>
    <xf numFmtId="9" fontId="28" fillId="0" borderId="0" xfId="0" applyNumberFormat="1" applyFont="1"/>
    <xf numFmtId="0" fontId="33" fillId="0" borderId="0" xfId="0" applyFont="1"/>
    <xf numFmtId="0" fontId="22" fillId="2" borderId="0" xfId="0" applyFont="1" applyFill="1"/>
    <xf numFmtId="0" fontId="21" fillId="0" borderId="0" xfId="0" applyFont="1"/>
    <xf numFmtId="0" fontId="26" fillId="0" borderId="0" xfId="0" applyFont="1" applyAlignment="1">
      <alignment horizontal="center"/>
    </xf>
    <xf numFmtId="3" fontId="26" fillId="0" borderId="0" xfId="0" applyNumberFormat="1" applyFont="1" applyAlignment="1">
      <alignment horizontal="right"/>
    </xf>
    <xf numFmtId="167" fontId="26" fillId="0" borderId="0" xfId="2" applyNumberFormat="1" applyFont="1" applyBorder="1"/>
    <xf numFmtId="0" fontId="33" fillId="2" borderId="0" xfId="0" applyFont="1" applyFill="1"/>
    <xf numFmtId="0" fontId="1" fillId="0" borderId="0" xfId="0" applyFont="1" applyAlignment="1">
      <alignment vertical="top" wrapText="1"/>
    </xf>
    <xf numFmtId="0" fontId="19" fillId="0" borderId="0" xfId="0" applyFont="1" applyAlignment="1">
      <alignment horizontal="left" indent="1"/>
    </xf>
    <xf numFmtId="0" fontId="20" fillId="0" borderId="0" xfId="0" applyFont="1" applyAlignment="1">
      <alignment horizontal="left" indent="1"/>
    </xf>
    <xf numFmtId="0" fontId="35" fillId="0" borderId="0" xfId="0" applyFont="1"/>
    <xf numFmtId="0" fontId="19" fillId="0" borderId="0" xfId="0" quotePrefix="1" applyFont="1" applyAlignment="1">
      <alignment horizontal="left" indent="1"/>
    </xf>
    <xf numFmtId="0" fontId="36" fillId="2" borderId="0" xfId="0" applyFont="1" applyFill="1"/>
    <xf numFmtId="0" fontId="22" fillId="0" borderId="0" xfId="0" applyFont="1" applyAlignment="1">
      <alignment horizontal="left" indent="1"/>
    </xf>
    <xf numFmtId="0" fontId="37" fillId="0" borderId="0" xfId="0" applyFont="1"/>
    <xf numFmtId="0" fontId="38" fillId="0" borderId="0" xfId="0" applyFont="1"/>
    <xf numFmtId="1" fontId="26" fillId="4" borderId="0" xfId="0" applyNumberFormat="1" applyFont="1" applyFill="1"/>
    <xf numFmtId="3" fontId="26" fillId="4" borderId="0" xfId="0" applyNumberFormat="1" applyFont="1" applyFill="1"/>
    <xf numFmtId="167" fontId="19" fillId="4" borderId="0" xfId="0" applyNumberFormat="1" applyFont="1" applyFill="1"/>
    <xf numFmtId="164" fontId="26" fillId="4" borderId="0" xfId="1" applyNumberFormat="1" applyFont="1" applyFill="1"/>
    <xf numFmtId="167" fontId="26" fillId="4" borderId="0" xfId="0" applyNumberFormat="1" applyFont="1" applyFill="1"/>
    <xf numFmtId="167" fontId="26" fillId="4" borderId="0" xfId="2" applyNumberFormat="1" applyFont="1" applyFill="1"/>
    <xf numFmtId="0" fontId="40" fillId="0" borderId="0" xfId="0" applyFont="1" applyAlignment="1">
      <alignment horizontal="left" vertical="top" wrapText="1" indent="1"/>
    </xf>
    <xf numFmtId="0" fontId="41" fillId="0" borderId="0" xfId="3" applyFont="1" applyAlignment="1">
      <alignment vertical="top" wrapText="1"/>
    </xf>
    <xf numFmtId="0" fontId="39" fillId="0" borderId="0" xfId="3" applyAlignment="1">
      <alignment vertical="top" wrapText="1"/>
    </xf>
    <xf numFmtId="0" fontId="6" fillId="4" borderId="0" xfId="0" applyFont="1" applyFill="1" applyAlignment="1">
      <alignment vertical="top" wrapText="1"/>
    </xf>
    <xf numFmtId="0" fontId="3" fillId="3" borderId="0" xfId="0" applyFont="1" applyFill="1" applyAlignment="1">
      <alignment horizontal="center" vertical="center" textRotation="90"/>
    </xf>
    <xf numFmtId="0" fontId="21" fillId="3" borderId="0" xfId="0" applyFont="1" applyFill="1"/>
    <xf numFmtId="0" fontId="21" fillId="3" borderId="0" xfId="0" applyFont="1" applyFill="1" applyAlignment="1">
      <alignment horizontal="center"/>
    </xf>
    <xf numFmtId="168" fontId="26" fillId="4" borderId="0" xfId="0" applyNumberFormat="1" applyFont="1" applyFill="1"/>
    <xf numFmtId="0" fontId="43" fillId="3" borderId="0" xfId="0" applyFont="1" applyFill="1" applyAlignment="1">
      <alignment horizontal="center"/>
    </xf>
    <xf numFmtId="168" fontId="19" fillId="0" borderId="0" xfId="0" quotePrefix="1" applyNumberFormat="1" applyFont="1" applyAlignment="1">
      <alignment horizontal="center"/>
    </xf>
    <xf numFmtId="168" fontId="28" fillId="0" borderId="2" xfId="0" applyNumberFormat="1" applyFont="1" applyBorder="1"/>
    <xf numFmtId="168" fontId="26" fillId="0" borderId="0" xfId="0" applyNumberFormat="1" applyFont="1"/>
    <xf numFmtId="168" fontId="28" fillId="0" borderId="0" xfId="0" applyNumberFormat="1" applyFont="1"/>
    <xf numFmtId="168" fontId="28" fillId="0" borderId="3" xfId="0" applyNumberFormat="1" applyFont="1" applyBorder="1"/>
    <xf numFmtId="168" fontId="0" fillId="0" borderId="0" xfId="0" applyNumberFormat="1"/>
    <xf numFmtId="168" fontId="19" fillId="0" borderId="0" xfId="0" applyNumberFormat="1" applyFont="1"/>
    <xf numFmtId="168" fontId="24" fillId="0" borderId="0" xfId="0" applyNumberFormat="1" applyFont="1"/>
    <xf numFmtId="0" fontId="21" fillId="3" borderId="0" xfId="0" applyFont="1" applyFill="1" applyAlignment="1">
      <alignment horizontal="right"/>
    </xf>
    <xf numFmtId="0" fontId="21" fillId="3" borderId="1" xfId="0" applyFont="1" applyFill="1" applyBorder="1" applyAlignment="1">
      <alignment horizontal="right"/>
    </xf>
    <xf numFmtId="168" fontId="20" fillId="0" borderId="2" xfId="0" applyNumberFormat="1" applyFont="1" applyBorder="1"/>
    <xf numFmtId="168" fontId="20" fillId="0" borderId="0" xfId="0" applyNumberFormat="1" applyFont="1"/>
    <xf numFmtId="168" fontId="20" fillId="0" borderId="3" xfId="0" applyNumberFormat="1" applyFont="1" applyBorder="1"/>
    <xf numFmtId="168" fontId="1" fillId="0" borderId="0" xfId="0" applyNumberFormat="1" applyFont="1"/>
    <xf numFmtId="168" fontId="22" fillId="0" borderId="2" xfId="0" applyNumberFormat="1" applyFont="1" applyBorder="1"/>
    <xf numFmtId="168" fontId="19" fillId="0" borderId="0" xfId="0" quotePrefix="1" applyNumberFormat="1" applyFont="1" applyAlignment="1">
      <alignment horizontal="right"/>
    </xf>
    <xf numFmtId="0" fontId="24" fillId="3" borderId="0" xfId="0" applyFont="1" applyFill="1"/>
    <xf numFmtId="168" fontId="24" fillId="3" borderId="0" xfId="0" applyNumberFormat="1" applyFont="1" applyFill="1"/>
    <xf numFmtId="3" fontId="24" fillId="3" borderId="0" xfId="0" applyNumberFormat="1" applyFont="1" applyFill="1"/>
    <xf numFmtId="0" fontId="19" fillId="5" borderId="0" xfId="0" applyFont="1" applyFill="1"/>
    <xf numFmtId="0" fontId="20" fillId="5" borderId="0" xfId="0" applyFont="1" applyFill="1"/>
    <xf numFmtId="168" fontId="31" fillId="2" borderId="2" xfId="0" applyNumberFormat="1" applyFont="1" applyFill="1" applyBorder="1"/>
    <xf numFmtId="168" fontId="28" fillId="2" borderId="2" xfId="0" applyNumberFormat="1" applyFont="1" applyFill="1" applyBorder="1"/>
    <xf numFmtId="168" fontId="31" fillId="0" borderId="2" xfId="0" applyNumberFormat="1" applyFont="1" applyBorder="1"/>
    <xf numFmtId="168" fontId="31" fillId="0" borderId="0" xfId="0" applyNumberFormat="1" applyFont="1"/>
    <xf numFmtId="168" fontId="32" fillId="0" borderId="0" xfId="0" applyNumberFormat="1" applyFont="1"/>
    <xf numFmtId="168" fontId="19" fillId="4" borderId="0" xfId="0" applyNumberFormat="1" applyFont="1" applyFill="1"/>
    <xf numFmtId="168" fontId="28" fillId="4" borderId="0" xfId="0" applyNumberFormat="1" applyFont="1" applyFill="1"/>
    <xf numFmtId="168" fontId="28" fillId="0" borderId="0" xfId="0" quotePrefix="1" applyNumberFormat="1" applyFont="1" applyAlignment="1">
      <alignment horizontal="center"/>
    </xf>
    <xf numFmtId="168" fontId="26" fillId="0" borderId="0" xfId="0" quotePrefix="1" applyNumberFormat="1" applyFont="1" applyAlignment="1">
      <alignment horizontal="right"/>
    </xf>
    <xf numFmtId="168" fontId="32" fillId="0" borderId="0" xfId="0" quotePrefix="1" applyNumberFormat="1" applyFont="1" applyAlignment="1">
      <alignment horizontal="right"/>
    </xf>
    <xf numFmtId="168" fontId="26" fillId="4" borderId="0" xfId="0" quotePrefix="1" applyNumberFormat="1" applyFont="1" applyFill="1" applyAlignment="1">
      <alignment horizontal="right"/>
    </xf>
    <xf numFmtId="168" fontId="26" fillId="2" borderId="0" xfId="0" applyNumberFormat="1" applyFont="1" applyFill="1" applyAlignment="1">
      <alignment horizontal="right"/>
    </xf>
    <xf numFmtId="168" fontId="28" fillId="0" borderId="0" xfId="0" applyNumberFormat="1" applyFont="1" applyAlignment="1">
      <alignment horizontal="right"/>
    </xf>
    <xf numFmtId="168" fontId="34" fillId="0" borderId="0" xfId="0" applyNumberFormat="1" applyFont="1"/>
    <xf numFmtId="168" fontId="32" fillId="0" borderId="0" xfId="0" applyNumberFormat="1" applyFont="1" applyAlignment="1">
      <alignment horizontal="right"/>
    </xf>
    <xf numFmtId="168" fontId="20" fillId="0" borderId="0" xfId="0" quotePrefix="1" applyNumberFormat="1" applyFont="1" applyAlignment="1">
      <alignment horizontal="center"/>
    </xf>
    <xf numFmtId="168" fontId="33" fillId="0" borderId="0" xfId="0" applyNumberFormat="1" applyFont="1"/>
    <xf numFmtId="168" fontId="33" fillId="5" borderId="0" xfId="0" applyNumberFormat="1" applyFont="1" applyFill="1"/>
    <xf numFmtId="168" fontId="26" fillId="5" borderId="0" xfId="0" applyNumberFormat="1" applyFont="1" applyFill="1"/>
    <xf numFmtId="168" fontId="32" fillId="5" borderId="0" xfId="0" applyNumberFormat="1" applyFont="1" applyFill="1"/>
    <xf numFmtId="168" fontId="31" fillId="5" borderId="0" xfId="0" applyNumberFormat="1" applyFont="1" applyFill="1"/>
    <xf numFmtId="168" fontId="28" fillId="5" borderId="0" xfId="0" applyNumberFormat="1" applyFont="1" applyFill="1"/>
    <xf numFmtId="168" fontId="19" fillId="0" borderId="0" xfId="0" quotePrefix="1" applyNumberFormat="1" applyFont="1"/>
    <xf numFmtId="168" fontId="19" fillId="4" borderId="0" xfId="0" quotePrefix="1" applyNumberFormat="1" applyFont="1" applyFill="1"/>
    <xf numFmtId="168" fontId="19" fillId="5" borderId="0" xfId="0" quotePrefix="1" applyNumberFormat="1" applyFont="1" applyFill="1"/>
    <xf numFmtId="168" fontId="32" fillId="0" borderId="0" xfId="0" quotePrefix="1" applyNumberFormat="1" applyFont="1"/>
    <xf numFmtId="168" fontId="31" fillId="0" borderId="2" xfId="0" quotePrefix="1" applyNumberFormat="1" applyFont="1" applyBorder="1"/>
    <xf numFmtId="168" fontId="20" fillId="0" borderId="2" xfId="0" quotePrefix="1" applyNumberFormat="1" applyFont="1" applyBorder="1"/>
    <xf numFmtId="168" fontId="26" fillId="0" borderId="0" xfId="0" quotePrefix="1" applyNumberFormat="1" applyFont="1"/>
    <xf numFmtId="168" fontId="28" fillId="0" borderId="2" xfId="0" quotePrefix="1" applyNumberFormat="1" applyFont="1" applyBorder="1"/>
    <xf numFmtId="168" fontId="22" fillId="0" borderId="0" xfId="0" quotePrefix="1" applyNumberFormat="1" applyFont="1"/>
    <xf numFmtId="168" fontId="34" fillId="0" borderId="0" xfId="0" quotePrefix="1" applyNumberFormat="1" applyFont="1"/>
    <xf numFmtId="168" fontId="27" fillId="0" borderId="0" xfId="0" applyNumberFormat="1" applyFont="1"/>
    <xf numFmtId="167" fontId="26" fillId="5" borderId="0" xfId="0" applyNumberFormat="1" applyFont="1" applyFill="1"/>
    <xf numFmtId="168" fontId="32" fillId="5" borderId="0" xfId="0" quotePrefix="1" applyNumberFormat="1" applyFont="1" applyFill="1"/>
    <xf numFmtId="168" fontId="31" fillId="5" borderId="0" xfId="0" quotePrefix="1" applyNumberFormat="1" applyFont="1" applyFill="1"/>
    <xf numFmtId="168" fontId="20" fillId="5" borderId="0" xfId="0" quotePrefix="1" applyNumberFormat="1" applyFont="1" applyFill="1"/>
    <xf numFmtId="168" fontId="20" fillId="0" borderId="0" xfId="0" quotePrefix="1" applyNumberFormat="1" applyFont="1" applyAlignment="1">
      <alignment horizontal="right"/>
    </xf>
    <xf numFmtId="3" fontId="26" fillId="5" borderId="0" xfId="0" applyNumberFormat="1" applyFont="1" applyFill="1"/>
    <xf numFmtId="164" fontId="26" fillId="5" borderId="0" xfId="1" applyNumberFormat="1" applyFont="1" applyFill="1"/>
    <xf numFmtId="168" fontId="3" fillId="3" borderId="0" xfId="0" applyNumberFormat="1" applyFont="1" applyFill="1" applyAlignment="1">
      <alignment vertical="top"/>
    </xf>
    <xf numFmtId="0" fontId="3" fillId="3" borderId="0" xfId="0" applyFont="1" applyFill="1" applyAlignment="1">
      <alignment vertical="top"/>
    </xf>
    <xf numFmtId="168" fontId="4" fillId="0" borderId="0" xfId="0" applyNumberFormat="1" applyFont="1" applyAlignment="1">
      <alignment vertical="top" wrapText="1"/>
    </xf>
    <xf numFmtId="168" fontId="1" fillId="0" borderId="0" xfId="0" applyNumberFormat="1" applyFont="1" applyAlignment="1">
      <alignment vertical="top" wrapText="1"/>
    </xf>
    <xf numFmtId="168" fontId="0" fillId="0" borderId="5" xfId="0" applyNumberFormat="1" applyBorder="1" applyAlignment="1">
      <alignment vertical="top" wrapText="1"/>
    </xf>
    <xf numFmtId="168" fontId="1" fillId="0" borderId="2" xfId="0" applyNumberFormat="1" applyFont="1" applyBorder="1" applyAlignment="1">
      <alignment vertical="top" wrapText="1"/>
    </xf>
    <xf numFmtId="0" fontId="1" fillId="0" borderId="2" xfId="0" applyFont="1" applyBorder="1" applyAlignment="1">
      <alignment vertical="top" wrapText="1"/>
    </xf>
    <xf numFmtId="0" fontId="0" fillId="0" borderId="0" xfId="0" applyAlignment="1">
      <alignment vertical="top"/>
    </xf>
    <xf numFmtId="168" fontId="0" fillId="0" borderId="0" xfId="0" applyNumberFormat="1" applyAlignment="1">
      <alignment vertical="top" wrapText="1"/>
    </xf>
    <xf numFmtId="0" fontId="0" fillId="0" borderId="0" xfId="0" applyFill="1" applyAlignment="1">
      <alignment vertical="top"/>
    </xf>
    <xf numFmtId="168" fontId="24" fillId="6" borderId="0" xfId="0" applyNumberFormat="1" applyFont="1" applyFill="1"/>
    <xf numFmtId="0" fontId="0" fillId="0" borderId="0" xfId="0" applyFill="1" applyAlignment="1">
      <alignment vertical="top" wrapText="1"/>
    </xf>
    <xf numFmtId="0" fontId="29" fillId="0" borderId="0" xfId="0" applyFont="1"/>
    <xf numFmtId="168" fontId="33" fillId="6" borderId="0" xfId="0" applyNumberFormat="1" applyFont="1" applyFill="1"/>
    <xf numFmtId="168" fontId="19" fillId="5" borderId="0" xfId="0" applyNumberFormat="1" applyFont="1" applyFill="1"/>
    <xf numFmtId="168" fontId="22" fillId="0" borderId="0" xfId="0" applyNumberFormat="1" applyFont="1"/>
    <xf numFmtId="168" fontId="22" fillId="5" borderId="0" xfId="0" applyNumberFormat="1" applyFont="1" applyFill="1"/>
    <xf numFmtId="168" fontId="22" fillId="6" borderId="0" xfId="0" applyNumberFormat="1" applyFont="1" applyFill="1"/>
    <xf numFmtId="0" fontId="44" fillId="0" borderId="0" xfId="0" applyFont="1"/>
    <xf numFmtId="0" fontId="3" fillId="3" borderId="0" xfId="0" applyFont="1" applyFill="1" applyAlignment="1">
      <alignment vertical="top" wrapText="1"/>
    </xf>
  </cellXfs>
  <cellStyles count="4">
    <cellStyle name="Comma" xfId="1" builtinId="3"/>
    <cellStyle name="Hyperlink" xfId="3" builtinId="8"/>
    <cellStyle name="Normal" xfId="0" builtinId="0"/>
    <cellStyle name="Percent" xfId="2" builtinId="5"/>
  </cellStyles>
  <dxfs count="57">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s>
  <tableStyles count="0" defaultTableStyle="TableStyleMedium9" defaultPivotStyle="PivotStyleLight16"/>
  <colors>
    <mruColors>
      <color rgb="FFFFFFCC"/>
      <color rgb="FFFFFF99"/>
      <color rgb="FFFFFF66"/>
      <color rgb="FF004646"/>
      <color rgb="FF007300"/>
      <color rgb="FFFF7C00"/>
      <color rgb="FF005A46"/>
      <color rgb="FF005A00"/>
      <color rgb="FF006600"/>
      <color rgb="FF00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Aantal producten verkocht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Dashboard!$AF$5</c:f>
              <c:strCache>
                <c:ptCount val="1"/>
                <c:pt idx="0">
                  <c:v>Aantal producten</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Dashboard!$AI$5:$AO$5</c:f>
              <c:numCache>
                <c:formatCode>#,##0</c:formatCode>
                <c:ptCount val="7"/>
                <c:pt idx="0">
                  <c:v>1200</c:v>
                </c:pt>
                <c:pt idx="1">
                  <c:v>1200</c:v>
                </c:pt>
                <c:pt idx="2">
                  <c:v>1200</c:v>
                </c:pt>
                <c:pt idx="3">
                  <c:v>1300</c:v>
                </c:pt>
                <c:pt idx="4">
                  <c:v>1400</c:v>
                </c:pt>
                <c:pt idx="5">
                  <c:v>1500</c:v>
                </c:pt>
                <c:pt idx="6">
                  <c:v>1500</c:v>
                </c:pt>
              </c:numCache>
            </c:numRef>
          </c:val>
          <c:extLst>
            <c:ext xmlns:c16="http://schemas.microsoft.com/office/drawing/2014/chart" uri="{C3380CC4-5D6E-409C-BE32-E72D297353CC}">
              <c16:uniqueId val="{00000000-CA26-4389-9BB5-E5445D465F5A}"/>
            </c:ext>
          </c:extLst>
        </c:ser>
        <c:dLbls>
          <c:showLegendKey val="0"/>
          <c:showVal val="0"/>
          <c:showCatName val="0"/>
          <c:showSerName val="0"/>
          <c:showPercent val="0"/>
          <c:showBubbleSize val="0"/>
        </c:dLbls>
        <c:gapWidth val="219"/>
        <c:overlap val="-27"/>
        <c:axId val="559422479"/>
        <c:axId val="455299359"/>
      </c:bar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9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majorUnit val="1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Gemiddelde</a:t>
            </a:r>
            <a:r>
              <a:rPr lang="en-US" b="1" baseline="0"/>
              <a:t> verkoopprijs</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Dashboard!$AF$6</c:f>
              <c:strCache>
                <c:ptCount val="1"/>
                <c:pt idx="0">
                  <c:v>Gem verkoopprijs</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Dashboard!$AI$6:$AO$6</c:f>
              <c:numCache>
                <c:formatCode>"€"\ #,##0;\-"€"\ #,##0;\-</c:formatCode>
                <c:ptCount val="7"/>
                <c:pt idx="0">
                  <c:v>416.66666666666669</c:v>
                </c:pt>
                <c:pt idx="1">
                  <c:v>437.5</c:v>
                </c:pt>
                <c:pt idx="2">
                  <c:v>446.25</c:v>
                </c:pt>
                <c:pt idx="3">
                  <c:v>455.17500000000001</c:v>
                </c:pt>
                <c:pt idx="4">
                  <c:v>464.27850000000001</c:v>
                </c:pt>
                <c:pt idx="5">
                  <c:v>473.56407000000002</c:v>
                </c:pt>
                <c:pt idx="6">
                  <c:v>483.03535140000002</c:v>
                </c:pt>
              </c:numCache>
            </c:numRef>
          </c:val>
          <c:smooth val="0"/>
          <c:extLst>
            <c:ext xmlns:c16="http://schemas.microsoft.com/office/drawing/2014/chart" uri="{C3380CC4-5D6E-409C-BE32-E72D297353CC}">
              <c16:uniqueId val="{00000000-98BF-4FA0-8F70-19DA79632CFD}"/>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Opbrengsten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areaChart>
        <c:grouping val="stacked"/>
        <c:varyColors val="0"/>
        <c:ser>
          <c:idx val="0"/>
          <c:order val="0"/>
          <c:tx>
            <c:strRef>
              <c:f>Dashboard!$AF$8</c:f>
              <c:strCache>
                <c:ptCount val="1"/>
                <c:pt idx="0">
                  <c:v>Productgroep</c:v>
                </c:pt>
              </c:strCache>
            </c:strRef>
          </c:tx>
          <c:spPr>
            <a:solidFill>
              <a:schemeClr val="accent1"/>
            </a:solidFill>
            <a:ln>
              <a:noFill/>
            </a:ln>
            <a:effectLst/>
          </c:spPr>
          <c:cat>
            <c:strRef>
              <c:f>Dashboard!$AI$3:$AO$3</c:f>
              <c:strCache>
                <c:ptCount val="7"/>
                <c:pt idx="0">
                  <c:v>R 24</c:v>
                </c:pt>
                <c:pt idx="1">
                  <c:v>R 25</c:v>
                </c:pt>
                <c:pt idx="2">
                  <c:v>P 26</c:v>
                </c:pt>
                <c:pt idx="3">
                  <c:v>P 27</c:v>
                </c:pt>
                <c:pt idx="4">
                  <c:v>P 28</c:v>
                </c:pt>
                <c:pt idx="5">
                  <c:v>P 29</c:v>
                </c:pt>
                <c:pt idx="6">
                  <c:v>P 30</c:v>
                </c:pt>
              </c:strCache>
            </c:strRef>
          </c:cat>
          <c:val>
            <c:numRef>
              <c:f>Dashboard!$AI$8:$AO$8</c:f>
              <c:numCache>
                <c:formatCode>"€"\ #,##0;\-"€"\ #,##0;\-</c:formatCode>
                <c:ptCount val="7"/>
                <c:pt idx="0">
                  <c:v>500</c:v>
                </c:pt>
                <c:pt idx="1">
                  <c:v>525</c:v>
                </c:pt>
                <c:pt idx="2">
                  <c:v>535.5</c:v>
                </c:pt>
                <c:pt idx="3">
                  <c:v>591.72749999999996</c:v>
                </c:pt>
                <c:pt idx="4">
                  <c:v>649.98990000000003</c:v>
                </c:pt>
                <c:pt idx="5">
                  <c:v>710.34610499999997</c:v>
                </c:pt>
                <c:pt idx="6">
                  <c:v>724.55302710000001</c:v>
                </c:pt>
              </c:numCache>
            </c:numRef>
          </c:val>
          <c:extLst>
            <c:ext xmlns:c16="http://schemas.microsoft.com/office/drawing/2014/chart" uri="{C3380CC4-5D6E-409C-BE32-E72D297353CC}">
              <c16:uniqueId val="{00000000-D3E6-448B-A991-3DD963B3418C}"/>
            </c:ext>
          </c:extLst>
        </c:ser>
        <c:ser>
          <c:idx val="1"/>
          <c:order val="1"/>
          <c:tx>
            <c:strRef>
              <c:f>Dashboard!$AF$9</c:f>
              <c:strCache>
                <c:ptCount val="1"/>
                <c:pt idx="0">
                  <c:v>Overige</c:v>
                </c:pt>
              </c:strCache>
            </c:strRef>
          </c:tx>
          <c:spPr>
            <a:solidFill>
              <a:schemeClr val="accent2"/>
            </a:solidFill>
            <a:ln>
              <a:noFill/>
            </a:ln>
            <a:effectLst/>
          </c:spPr>
          <c:val>
            <c:numRef>
              <c:f>Dashboard!$AI$9:$AO$9</c:f>
              <c:numCache>
                <c:formatCode>"€"\ #,##0;\-"€"\ #,##0;\-</c:formatCode>
                <c:ptCount val="7"/>
                <c:pt idx="0">
                  <c:v>50</c:v>
                </c:pt>
                <c:pt idx="1">
                  <c:v>55</c:v>
                </c:pt>
                <c:pt idx="2">
                  <c:v>86.1</c:v>
                </c:pt>
                <c:pt idx="3">
                  <c:v>57.222000000000001</c:v>
                </c:pt>
                <c:pt idx="4">
                  <c:v>58.366440000000004</c:v>
                </c:pt>
                <c:pt idx="5">
                  <c:v>59.533768800000004</c:v>
                </c:pt>
                <c:pt idx="6">
                  <c:v>60.724444176000006</c:v>
                </c:pt>
              </c:numCache>
            </c:numRef>
          </c:val>
          <c:extLst>
            <c:ext xmlns:c16="http://schemas.microsoft.com/office/drawing/2014/chart" uri="{C3380CC4-5D6E-409C-BE32-E72D297353CC}">
              <c16:uniqueId val="{00000000-0C5B-43E4-97E7-8D2E42DFF439}"/>
            </c:ext>
          </c:extLst>
        </c:ser>
        <c:ser>
          <c:idx val="2"/>
          <c:order val="2"/>
          <c:tx>
            <c:strRef>
              <c:f>Dashboard!$AF$10</c:f>
              <c:strCache>
                <c:ptCount val="1"/>
              </c:strCache>
            </c:strRef>
          </c:tx>
          <c:spPr>
            <a:solidFill>
              <a:schemeClr val="bg1">
                <a:lumMod val="65000"/>
              </a:schemeClr>
            </a:solidFill>
            <a:ln>
              <a:noFill/>
            </a:ln>
            <a:effectLst/>
          </c:spPr>
          <c:val>
            <c:numRef>
              <c:f>Dashboard!$AI$10:$AO$10</c:f>
              <c:numCache>
                <c:formatCode>#,##0</c:formatCode>
                <c:ptCount val="7"/>
              </c:numCache>
            </c:numRef>
          </c:val>
          <c:extLst>
            <c:ext xmlns:c16="http://schemas.microsoft.com/office/drawing/2014/chart" uri="{C3380CC4-5D6E-409C-BE32-E72D297353CC}">
              <c16:uniqueId val="{00000001-0C5B-43E4-97E7-8D2E42DFF439}"/>
            </c:ext>
          </c:extLst>
        </c:ser>
        <c:dLbls>
          <c:showLegendKey val="0"/>
          <c:showVal val="0"/>
          <c:showCatName val="0"/>
          <c:showSerName val="0"/>
          <c:showPercent val="0"/>
          <c:showBubbleSize val="0"/>
        </c:dLbls>
        <c:axId val="559422479"/>
        <c:axId val="455299359"/>
      </c:areaChart>
      <c:catAx>
        <c:axId val="5594224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400"/>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Personeelskosten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Dashboard!$AF$11</c:f>
              <c:strCache>
                <c:ptCount val="1"/>
                <c:pt idx="0">
                  <c:v>Personeelskosten</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Dashboard!$AI$11:$AO$11</c:f>
              <c:numCache>
                <c:formatCode>"€"\ #,##0;\-"€"\ #,##0;\-</c:formatCode>
                <c:ptCount val="7"/>
                <c:pt idx="0">
                  <c:v>300</c:v>
                </c:pt>
                <c:pt idx="1">
                  <c:v>315</c:v>
                </c:pt>
                <c:pt idx="2">
                  <c:v>371.08</c:v>
                </c:pt>
                <c:pt idx="3">
                  <c:v>375.30160000000001</c:v>
                </c:pt>
                <c:pt idx="4">
                  <c:v>382.66763200000003</c:v>
                </c:pt>
                <c:pt idx="5">
                  <c:v>390.18098464000002</c:v>
                </c:pt>
                <c:pt idx="6">
                  <c:v>462.98537172160002</c:v>
                </c:pt>
              </c:numCache>
            </c:numRef>
          </c:val>
          <c:extLst>
            <c:ext xmlns:c16="http://schemas.microsoft.com/office/drawing/2014/chart" uri="{C3380CC4-5D6E-409C-BE32-E72D297353CC}">
              <c16:uniqueId val="{00000000-E2F8-4D06-AC5E-29F78E7A892F}"/>
            </c:ext>
          </c:extLst>
        </c:ser>
        <c:dLbls>
          <c:showLegendKey val="0"/>
          <c:showVal val="0"/>
          <c:showCatName val="0"/>
          <c:showSerName val="0"/>
          <c:showPercent val="0"/>
          <c:showBubbleSize val="0"/>
        </c:dLbls>
        <c:gapWidth val="219"/>
        <c:overlap val="-27"/>
        <c:axId val="559422479"/>
        <c:axId val="455299359"/>
      </c:barChart>
      <c:lineChart>
        <c:grouping val="standard"/>
        <c:varyColors val="0"/>
        <c:ser>
          <c:idx val="1"/>
          <c:order val="1"/>
          <c:tx>
            <c:strRef>
              <c:f>Dashboard!$AF$12</c:f>
              <c:strCache>
                <c:ptCount val="1"/>
                <c:pt idx="0">
                  <c:v>Personeelskosten%</c:v>
                </c:pt>
              </c:strCache>
            </c:strRef>
          </c:tx>
          <c:spPr>
            <a:ln w="28575" cap="rnd">
              <a:solidFill>
                <a:schemeClr val="accent2"/>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Dashboard!$AI$12:$AO$12</c:f>
              <c:numCache>
                <c:formatCode>0.0%</c:formatCode>
                <c:ptCount val="7"/>
                <c:pt idx="0">
                  <c:v>0.54545454545454541</c:v>
                </c:pt>
                <c:pt idx="1">
                  <c:v>0.5431034482758621</c:v>
                </c:pt>
                <c:pt idx="2">
                  <c:v>0.59697554697554689</c:v>
                </c:pt>
                <c:pt idx="3">
                  <c:v>0.57832173381750052</c:v>
                </c:pt>
                <c:pt idx="4">
                  <c:v>0.54021911062446337</c:v>
                </c:pt>
                <c:pt idx="5">
                  <c:v>0.50680761754964587</c:v>
                </c:pt>
                <c:pt idx="6">
                  <c:v>0.58958188494735941</c:v>
                </c:pt>
              </c:numCache>
            </c:numRef>
          </c:val>
          <c:smooth val="0"/>
          <c:extLst>
            <c:ext xmlns:c16="http://schemas.microsoft.com/office/drawing/2014/chart" uri="{C3380CC4-5D6E-409C-BE32-E72D297353CC}">
              <c16:uniqueId val="{00000001-E2F8-4D06-AC5E-29F78E7A892F}"/>
            </c:ext>
          </c:extLst>
        </c:ser>
        <c:dLbls>
          <c:showLegendKey val="0"/>
          <c:showVal val="0"/>
          <c:showCatName val="0"/>
          <c:showSerName val="0"/>
          <c:showPercent val="0"/>
          <c:showBubbleSize val="0"/>
        </c:dLbls>
        <c:marker val="1"/>
        <c:smooth val="0"/>
        <c:axId val="650054239"/>
        <c:axId val="655594591"/>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200"/>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valAx>
        <c:axId val="655594591"/>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50054239"/>
        <c:crosses val="max"/>
        <c:crossBetween val="between"/>
      </c:valAx>
      <c:catAx>
        <c:axId val="650054239"/>
        <c:scaling>
          <c:orientation val="minMax"/>
        </c:scaling>
        <c:delete val="1"/>
        <c:axPos val="b"/>
        <c:numFmt formatCode="General" sourceLinked="1"/>
        <c:majorTickMark val="out"/>
        <c:minorTickMark val="none"/>
        <c:tickLblPos val="nextTo"/>
        <c:crossAx val="655594591"/>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Solvabiliteit</a:t>
            </a:r>
            <a:r>
              <a:rPr lang="en-US" b="1" baseline="0"/>
              <a:t> EV/TV</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Dashboard!$AF$17</c:f>
              <c:strCache>
                <c:ptCount val="1"/>
                <c:pt idx="0">
                  <c:v>Solvabiliteit</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Dashboard!$AI$17:$AO$17</c:f>
              <c:numCache>
                <c:formatCode>0.0%</c:formatCode>
                <c:ptCount val="7"/>
                <c:pt idx="1">
                  <c:v>0.39672131147540984</c:v>
                </c:pt>
                <c:pt idx="2">
                  <c:v>0.5335188550338601</c:v>
                </c:pt>
                <c:pt idx="3">
                  <c:v>0.5150958359577319</c:v>
                </c:pt>
                <c:pt idx="4">
                  <c:v>0.50996608653379938</c:v>
                </c:pt>
                <c:pt idx="5">
                  <c:v>0.61737531199682927</c:v>
                </c:pt>
                <c:pt idx="6">
                  <c:v>0.70508260558932923</c:v>
                </c:pt>
              </c:numCache>
            </c:numRef>
          </c:val>
          <c:extLst>
            <c:ext xmlns:c16="http://schemas.microsoft.com/office/drawing/2014/chart" uri="{C3380CC4-5D6E-409C-BE32-E72D297353CC}">
              <c16:uniqueId val="{00000007-050A-451A-A216-71AB12A0BA99}"/>
            </c:ext>
          </c:extLst>
        </c:ser>
        <c:dLbls>
          <c:showLegendKey val="0"/>
          <c:showVal val="0"/>
          <c:showCatName val="0"/>
          <c:showSerName val="0"/>
          <c:showPercent val="0"/>
          <c:showBubbleSize val="0"/>
        </c:dLbls>
        <c:gapWidth val="150"/>
        <c:axId val="559422479"/>
        <c:axId val="455299359"/>
      </c:bar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Liquide</a:t>
            </a:r>
            <a:r>
              <a:rPr lang="en-US" b="1" baseline="0"/>
              <a:t> middelen</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Dashboard!$AF$20</c:f>
              <c:strCache>
                <c:ptCount val="1"/>
                <c:pt idx="0">
                  <c:v>Kasstroom</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Dashboard!$AI$20:$AO$20</c:f>
              <c:numCache>
                <c:formatCode>"€"\ #,##0;\-"€"\ #,##0;\-</c:formatCode>
                <c:ptCount val="7"/>
                <c:pt idx="1">
                  <c:v>-25</c:v>
                </c:pt>
                <c:pt idx="2">
                  <c:v>-9.0128219729451757</c:v>
                </c:pt>
                <c:pt idx="3">
                  <c:v>131.26219792808223</c:v>
                </c:pt>
                <c:pt idx="4">
                  <c:v>-169.25153689657535</c:v>
                </c:pt>
                <c:pt idx="5">
                  <c:v>-2.2926209933905142</c:v>
                </c:pt>
                <c:pt idx="6">
                  <c:v>-19.803263289296652</c:v>
                </c:pt>
              </c:numCache>
            </c:numRef>
          </c:val>
          <c:extLst>
            <c:ext xmlns:c16="http://schemas.microsoft.com/office/drawing/2014/chart" uri="{C3380CC4-5D6E-409C-BE32-E72D297353CC}">
              <c16:uniqueId val="{00000003-DD8D-4644-A9B3-D89AE7CAAFCE}"/>
            </c:ext>
          </c:extLst>
        </c:ser>
        <c:dLbls>
          <c:showLegendKey val="0"/>
          <c:showVal val="0"/>
          <c:showCatName val="0"/>
          <c:showSerName val="0"/>
          <c:showPercent val="0"/>
          <c:showBubbleSize val="0"/>
        </c:dLbls>
        <c:gapWidth val="150"/>
        <c:axId val="559422479"/>
        <c:axId val="455299359"/>
      </c:barChart>
      <c:lineChart>
        <c:grouping val="standard"/>
        <c:varyColors val="0"/>
        <c:ser>
          <c:idx val="1"/>
          <c:order val="1"/>
          <c:tx>
            <c:strRef>
              <c:f>Dashboard!$AF$21</c:f>
              <c:strCache>
                <c:ptCount val="1"/>
                <c:pt idx="0">
                  <c:v>Stand</c:v>
                </c:pt>
              </c:strCache>
            </c:strRef>
          </c:tx>
          <c:spPr>
            <a:ln w="28575" cap="rnd">
              <a:solidFill>
                <a:schemeClr val="accent2"/>
              </a:solidFill>
              <a:round/>
            </a:ln>
            <a:effectLst/>
          </c:spPr>
          <c:marker>
            <c:symbol val="none"/>
          </c:marker>
          <c:val>
            <c:numRef>
              <c:f>Dashboard!$AI$21:$AO$21</c:f>
              <c:numCache>
                <c:formatCode>"€"\ #,##0;\-"€"\ #,##0;\-</c:formatCode>
                <c:ptCount val="7"/>
                <c:pt idx="0">
                  <c:v>104</c:v>
                </c:pt>
                <c:pt idx="1">
                  <c:v>79</c:v>
                </c:pt>
                <c:pt idx="2">
                  <c:v>69.987178027054881</c:v>
                </c:pt>
                <c:pt idx="3">
                  <c:v>201.249375955137</c:v>
                </c:pt>
                <c:pt idx="4">
                  <c:v>31.997839058561681</c:v>
                </c:pt>
                <c:pt idx="5">
                  <c:v>29.705218065171096</c:v>
                </c:pt>
                <c:pt idx="6">
                  <c:v>9.9019547758746285</c:v>
                </c:pt>
              </c:numCache>
            </c:numRef>
          </c:val>
          <c:smooth val="0"/>
          <c:extLst>
            <c:ext xmlns:c16="http://schemas.microsoft.com/office/drawing/2014/chart" uri="{C3380CC4-5D6E-409C-BE32-E72D297353CC}">
              <c16:uniqueId val="{00000004-DD8D-4644-A9B3-D89AE7CAAFCE}"/>
            </c:ext>
          </c:extLst>
        </c:ser>
        <c:dLbls>
          <c:showLegendKey val="0"/>
          <c:showVal val="0"/>
          <c:showCatName val="0"/>
          <c:showSerName val="0"/>
          <c:showPercent val="0"/>
          <c:showBubbleSize val="0"/>
        </c:dLbls>
        <c:marker val="1"/>
        <c:smooth val="0"/>
        <c:axId val="559422479"/>
        <c:axId val="455299359"/>
      </c:lineChart>
      <c:catAx>
        <c:axId val="5594224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majorUnit val="1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Current</a:t>
            </a:r>
            <a:r>
              <a:rPr lang="en-US" b="1" baseline="0"/>
              <a:t> ratio</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Dashboard!$AF$22</c:f>
              <c:strCache>
                <c:ptCount val="1"/>
                <c:pt idx="0">
                  <c:v>Current ratio</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Dashboard!$AI$22:$AO$22</c:f>
              <c:numCache>
                <c:formatCode>0.0</c:formatCode>
                <c:ptCount val="7"/>
                <c:pt idx="0">
                  <c:v>2.3095238095238093</c:v>
                </c:pt>
                <c:pt idx="1">
                  <c:v>1.8571428571428572</c:v>
                </c:pt>
                <c:pt idx="2">
                  <c:v>2.1893498033215564</c:v>
                </c:pt>
                <c:pt idx="3">
                  <c:v>2.0268188549114146</c:v>
                </c:pt>
                <c:pt idx="4">
                  <c:v>1.0372520516779995</c:v>
                </c:pt>
                <c:pt idx="5">
                  <c:v>1.399807784662622</c:v>
                </c:pt>
                <c:pt idx="6">
                  <c:v>1.3163594782882986</c:v>
                </c:pt>
              </c:numCache>
            </c:numRef>
          </c:val>
          <c:smooth val="0"/>
          <c:extLst>
            <c:ext xmlns:c16="http://schemas.microsoft.com/office/drawing/2014/chart" uri="{C3380CC4-5D6E-409C-BE32-E72D297353CC}">
              <c16:uniqueId val="{00000002-8B91-446B-A746-C5A02FBCD224}"/>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ICR</a:t>
            </a:r>
            <a:r>
              <a:rPr lang="en-US" b="1" baseline="0"/>
              <a:t> en DSCR</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Dashboard!$AF$23</c:f>
              <c:strCache>
                <c:ptCount val="1"/>
                <c:pt idx="0">
                  <c:v>ICR</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Dashboard!$AI$23:$AO$23</c:f>
              <c:numCache>
                <c:formatCode>0.0</c:formatCode>
                <c:ptCount val="7"/>
                <c:pt idx="0">
                  <c:v>17</c:v>
                </c:pt>
                <c:pt idx="1">
                  <c:v>14.833333333333334</c:v>
                </c:pt>
                <c:pt idx="2">
                  <c:v>23.271381578947384</c:v>
                </c:pt>
                <c:pt idx="3">
                  <c:v>7.3789368932038863</c:v>
                </c:pt>
                <c:pt idx="4">
                  <c:v>13.28189928853755</c:v>
                </c:pt>
                <c:pt idx="5">
                  <c:v>43.272253303333287</c:v>
                </c:pt>
                <c:pt idx="6">
                  <c:v>58.510783795927225</c:v>
                </c:pt>
              </c:numCache>
            </c:numRef>
          </c:val>
          <c:smooth val="0"/>
          <c:extLst>
            <c:ext xmlns:c16="http://schemas.microsoft.com/office/drawing/2014/chart" uri="{C3380CC4-5D6E-409C-BE32-E72D297353CC}">
              <c16:uniqueId val="{00000001-FAB8-4911-A812-47427CC89253}"/>
            </c:ext>
          </c:extLst>
        </c:ser>
        <c:ser>
          <c:idx val="1"/>
          <c:order val="1"/>
          <c:tx>
            <c:strRef>
              <c:f>Dashboard!$AF$24</c:f>
              <c:strCache>
                <c:ptCount val="1"/>
                <c:pt idx="0">
                  <c:v>DSCR</c:v>
                </c:pt>
              </c:strCache>
            </c:strRef>
          </c:tx>
          <c:spPr>
            <a:ln w="28575" cap="rnd">
              <a:solidFill>
                <a:schemeClr val="accent2"/>
              </a:solidFill>
              <a:round/>
            </a:ln>
            <a:effectLst/>
          </c:spPr>
          <c:marker>
            <c:symbol val="none"/>
          </c:marker>
          <c:val>
            <c:numRef>
              <c:f>Dashboard!$AI$24:$AO$24</c:f>
              <c:numCache>
                <c:formatCode>0.0</c:formatCode>
                <c:ptCount val="7"/>
                <c:pt idx="1">
                  <c:v>5.5625</c:v>
                </c:pt>
                <c:pt idx="2">
                  <c:v>5.4252300613496969</c:v>
                </c:pt>
                <c:pt idx="3">
                  <c:v>1.5109950298210741</c:v>
                </c:pt>
                <c:pt idx="4">
                  <c:v>1.8134487425796006</c:v>
                </c:pt>
                <c:pt idx="5">
                  <c:v>3.9338412093939352</c:v>
                </c:pt>
                <c:pt idx="6">
                  <c:v>2.5642176165545796</c:v>
                </c:pt>
              </c:numCache>
            </c:numRef>
          </c:val>
          <c:smooth val="0"/>
          <c:extLst>
            <c:ext xmlns:c16="http://schemas.microsoft.com/office/drawing/2014/chart" uri="{C3380CC4-5D6E-409C-BE32-E72D297353CC}">
              <c16:uniqueId val="{00000002-FAB8-4911-A812-47427CC89253}"/>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Rentabiliteit</a:t>
            </a:r>
            <a:r>
              <a:rPr lang="en-US" b="1" baseline="0"/>
              <a:t> EV</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Dashboard!$AF$15</c:f>
              <c:strCache>
                <c:ptCount val="1"/>
                <c:pt idx="0">
                  <c:v>Rentabiliteit EV</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Dashboard!$AI$15:$AO$15</c:f>
              <c:numCache>
                <c:formatCode>0%</c:formatCode>
                <c:ptCount val="7"/>
                <c:pt idx="1">
                  <c:v>0.43801652892561982</c:v>
                </c:pt>
                <c:pt idx="2">
                  <c:v>0.23992802822894596</c:v>
                </c:pt>
                <c:pt idx="3">
                  <c:v>0.22606434402195763</c:v>
                </c:pt>
                <c:pt idx="4">
                  <c:v>0.13259196542522297</c:v>
                </c:pt>
                <c:pt idx="5">
                  <c:v>0.28099681880596178</c:v>
                </c:pt>
                <c:pt idx="6">
                  <c:v>0.11592047292960997</c:v>
                </c:pt>
              </c:numCache>
            </c:numRef>
          </c:val>
          <c:smooth val="0"/>
          <c:extLst>
            <c:ext xmlns:c16="http://schemas.microsoft.com/office/drawing/2014/chart" uri="{C3380CC4-5D6E-409C-BE32-E72D297353CC}">
              <c16:uniqueId val="{00000002-0869-4CBB-AF00-CCCA6DC92D82}"/>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Resultaat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Dashboard!$AF$13</c:f>
              <c:strCache>
                <c:ptCount val="1"/>
                <c:pt idx="0">
                  <c:v>Resultaat</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Dashboard!$AI$13:$AO$13</c:f>
              <c:numCache>
                <c:formatCode>"€"\ #,##0;\-"€"\ #,##0;\-</c:formatCode>
                <c:ptCount val="7"/>
                <c:pt idx="0">
                  <c:v>63</c:v>
                </c:pt>
                <c:pt idx="1">
                  <c:v>53</c:v>
                </c:pt>
                <c:pt idx="2">
                  <c:v>37.350904275000033</c:v>
                </c:pt>
                <c:pt idx="3">
                  <c:v>41.888643750000043</c:v>
                </c:pt>
                <c:pt idx="4">
                  <c:v>27.512259750000002</c:v>
                </c:pt>
                <c:pt idx="5">
                  <c:v>66.612569932499895</c:v>
                </c:pt>
                <c:pt idx="6">
                  <c:v>30.807995789549921</c:v>
                </c:pt>
              </c:numCache>
            </c:numRef>
          </c:val>
          <c:extLst>
            <c:ext xmlns:c16="http://schemas.microsoft.com/office/drawing/2014/chart" uri="{C3380CC4-5D6E-409C-BE32-E72D297353CC}">
              <c16:uniqueId val="{00000000-A0DA-4C7B-87BD-6109FC2EB065}"/>
            </c:ext>
          </c:extLst>
        </c:ser>
        <c:dLbls>
          <c:showLegendKey val="0"/>
          <c:showVal val="0"/>
          <c:showCatName val="0"/>
          <c:showSerName val="0"/>
          <c:showPercent val="0"/>
          <c:showBubbleSize val="0"/>
        </c:dLbls>
        <c:gapWidth val="219"/>
        <c:overlap val="-27"/>
        <c:axId val="559422479"/>
        <c:axId val="455299359"/>
      </c:barChart>
      <c:lineChart>
        <c:grouping val="standard"/>
        <c:varyColors val="0"/>
        <c:ser>
          <c:idx val="1"/>
          <c:order val="1"/>
          <c:tx>
            <c:strRef>
              <c:f>Dashboard!$AF$14</c:f>
              <c:strCache>
                <c:ptCount val="1"/>
                <c:pt idx="0">
                  <c:v>Resultaat %</c:v>
                </c:pt>
              </c:strCache>
            </c:strRef>
          </c:tx>
          <c:spPr>
            <a:ln w="28575" cap="rnd">
              <a:solidFill>
                <a:schemeClr val="accent2"/>
              </a:solidFill>
              <a:round/>
            </a:ln>
            <a:effectLst/>
          </c:spPr>
          <c:marker>
            <c:symbol val="none"/>
          </c:marker>
          <c:val>
            <c:numRef>
              <c:f>Dashboard!$AI$14:$AO$14</c:f>
              <c:numCache>
                <c:formatCode>0.0%</c:formatCode>
                <c:ptCount val="7"/>
                <c:pt idx="0">
                  <c:v>0.11454545454545455</c:v>
                </c:pt>
                <c:pt idx="1">
                  <c:v>9.1379310344827588E-2</c:v>
                </c:pt>
                <c:pt idx="2">
                  <c:v>6.008832734073364E-2</c:v>
                </c:pt>
                <c:pt idx="3">
                  <c:v>6.4548387432304122E-2</c:v>
                </c:pt>
                <c:pt idx="4">
                  <c:v>3.8839575784696163E-2</c:v>
                </c:pt>
                <c:pt idx="5">
                  <c:v>8.6523329417239142E-2</c:v>
                </c:pt>
                <c:pt idx="6">
                  <c:v>3.9231987312064238E-2</c:v>
                </c:pt>
              </c:numCache>
            </c:numRef>
          </c:val>
          <c:smooth val="0"/>
          <c:extLst>
            <c:ext xmlns:c16="http://schemas.microsoft.com/office/drawing/2014/chart" uri="{C3380CC4-5D6E-409C-BE32-E72D297353CC}">
              <c16:uniqueId val="{00000001-A0DA-4C7B-87BD-6109FC2EB065}"/>
            </c:ext>
          </c:extLst>
        </c:ser>
        <c:dLbls>
          <c:showLegendKey val="0"/>
          <c:showVal val="0"/>
          <c:showCatName val="0"/>
          <c:showSerName val="0"/>
          <c:showPercent val="0"/>
          <c:showBubbleSize val="0"/>
        </c:dLbls>
        <c:marker val="1"/>
        <c:smooth val="0"/>
        <c:axId val="650054239"/>
        <c:axId val="655594591"/>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valAx>
        <c:axId val="655594591"/>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50054239"/>
        <c:crosses val="max"/>
        <c:crossBetween val="between"/>
      </c:valAx>
      <c:catAx>
        <c:axId val="650054239"/>
        <c:scaling>
          <c:orientation val="minMax"/>
        </c:scaling>
        <c:delete val="1"/>
        <c:axPos val="b"/>
        <c:majorTickMark val="out"/>
        <c:minorTickMark val="none"/>
        <c:tickLblPos val="nextTo"/>
        <c:crossAx val="655594591"/>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0</xdr:rowOff>
    </xdr:from>
    <xdr:to>
      <xdr:col>7</xdr:col>
      <xdr:colOff>584200</xdr:colOff>
      <xdr:row>12</xdr:row>
      <xdr:rowOff>76200</xdr:rowOff>
    </xdr:to>
    <xdr:graphicFrame macro="">
      <xdr:nvGraphicFramePr>
        <xdr:cNvPr id="2" name="Chart 1">
          <a:extLst>
            <a:ext uri="{FF2B5EF4-FFF2-40B4-BE49-F238E27FC236}">
              <a16:creationId xmlns:a16="http://schemas.microsoft.com/office/drawing/2014/main" id="{F22B473E-4B63-47EB-BB89-C407721097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42335</xdr:colOff>
      <xdr:row>3</xdr:row>
      <xdr:rowOff>0</xdr:rowOff>
    </xdr:from>
    <xdr:to>
      <xdr:col>14</xdr:col>
      <xdr:colOff>48261</xdr:colOff>
      <xdr:row>12</xdr:row>
      <xdr:rowOff>76200</xdr:rowOff>
    </xdr:to>
    <xdr:graphicFrame macro="">
      <xdr:nvGraphicFramePr>
        <xdr:cNvPr id="4" name="Chart 3">
          <a:extLst>
            <a:ext uri="{FF2B5EF4-FFF2-40B4-BE49-F238E27FC236}">
              <a16:creationId xmlns:a16="http://schemas.microsoft.com/office/drawing/2014/main" id="{B2B63CF5-CC57-4CFF-8AD2-17A2526F2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3</xdr:row>
      <xdr:rowOff>0</xdr:rowOff>
    </xdr:from>
    <xdr:to>
      <xdr:col>19</xdr:col>
      <xdr:colOff>584200</xdr:colOff>
      <xdr:row>12</xdr:row>
      <xdr:rowOff>76200</xdr:rowOff>
    </xdr:to>
    <xdr:graphicFrame macro="">
      <xdr:nvGraphicFramePr>
        <xdr:cNvPr id="7" name="Chart 6">
          <a:extLst>
            <a:ext uri="{FF2B5EF4-FFF2-40B4-BE49-F238E27FC236}">
              <a16:creationId xmlns:a16="http://schemas.microsoft.com/office/drawing/2014/main" id="{FDD49A58-E2E5-4A79-AA26-B29D7B116E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160866</xdr:colOff>
      <xdr:row>12</xdr:row>
      <xdr:rowOff>177800</xdr:rowOff>
    </xdr:from>
    <xdr:to>
      <xdr:col>9</xdr:col>
      <xdr:colOff>0</xdr:colOff>
      <xdr:row>22</xdr:row>
      <xdr:rowOff>93135</xdr:rowOff>
    </xdr:to>
    <xdr:graphicFrame macro="">
      <xdr:nvGraphicFramePr>
        <xdr:cNvPr id="8" name="Chart 7">
          <a:extLst>
            <a:ext uri="{FF2B5EF4-FFF2-40B4-BE49-F238E27FC236}">
              <a16:creationId xmlns:a16="http://schemas.microsoft.com/office/drawing/2014/main" id="{B5F24BA4-D0D2-40C1-AD5E-85A662C033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533392</xdr:colOff>
      <xdr:row>15</xdr:row>
      <xdr:rowOff>118535</xdr:rowOff>
    </xdr:from>
    <xdr:to>
      <xdr:col>5</xdr:col>
      <xdr:colOff>296325</xdr:colOff>
      <xdr:row>16</xdr:row>
      <xdr:rowOff>118535</xdr:rowOff>
    </xdr:to>
    <xdr:sp macro="" textlink="">
      <xdr:nvSpPr>
        <xdr:cNvPr id="9" name="TextBox 8">
          <a:extLst>
            <a:ext uri="{FF2B5EF4-FFF2-40B4-BE49-F238E27FC236}">
              <a16:creationId xmlns:a16="http://schemas.microsoft.com/office/drawing/2014/main" id="{DCD52691-0B70-4199-A38C-161EC8EF200D}"/>
            </a:ext>
          </a:extLst>
        </xdr:cNvPr>
        <xdr:cNvSpPr txBox="1"/>
      </xdr:nvSpPr>
      <xdr:spPr>
        <a:xfrm>
          <a:off x="922859" y="2734735"/>
          <a:ext cx="982133" cy="1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baseline="0">
              <a:solidFill>
                <a:schemeClr val="accent2"/>
              </a:solidFill>
            </a:rPr>
            <a:t>% van opbrengsten</a:t>
          </a:r>
          <a:endParaRPr lang="nl-NL" sz="800">
            <a:solidFill>
              <a:schemeClr val="accent2"/>
            </a:solidFill>
          </a:endParaRPr>
        </a:p>
      </xdr:txBody>
    </xdr:sp>
    <xdr:clientData/>
  </xdr:twoCellAnchor>
  <xdr:twoCellAnchor>
    <xdr:from>
      <xdr:col>15</xdr:col>
      <xdr:colOff>0</xdr:colOff>
      <xdr:row>23</xdr:row>
      <xdr:rowOff>0</xdr:rowOff>
    </xdr:from>
    <xdr:to>
      <xdr:col>20</xdr:col>
      <xdr:colOff>5926</xdr:colOff>
      <xdr:row>32</xdr:row>
      <xdr:rowOff>76200</xdr:rowOff>
    </xdr:to>
    <xdr:graphicFrame macro="">
      <xdr:nvGraphicFramePr>
        <xdr:cNvPr id="10" name="Chart 9">
          <a:extLst>
            <a:ext uri="{FF2B5EF4-FFF2-40B4-BE49-F238E27FC236}">
              <a16:creationId xmlns:a16="http://schemas.microsoft.com/office/drawing/2014/main" id="{F963788A-3BC0-4213-A3F3-7959633F49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23</xdr:row>
      <xdr:rowOff>0</xdr:rowOff>
    </xdr:from>
    <xdr:to>
      <xdr:col>7</xdr:col>
      <xdr:colOff>584200</xdr:colOff>
      <xdr:row>32</xdr:row>
      <xdr:rowOff>76200</xdr:rowOff>
    </xdr:to>
    <xdr:graphicFrame macro="">
      <xdr:nvGraphicFramePr>
        <xdr:cNvPr id="12" name="Chart 11">
          <a:extLst>
            <a:ext uri="{FF2B5EF4-FFF2-40B4-BE49-F238E27FC236}">
              <a16:creationId xmlns:a16="http://schemas.microsoft.com/office/drawing/2014/main" id="{67AE4002-5EF7-4A18-AC9F-9AB73C20A8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42335</xdr:colOff>
      <xdr:row>23</xdr:row>
      <xdr:rowOff>0</xdr:rowOff>
    </xdr:from>
    <xdr:to>
      <xdr:col>14</xdr:col>
      <xdr:colOff>48261</xdr:colOff>
      <xdr:row>32</xdr:row>
      <xdr:rowOff>76200</xdr:rowOff>
    </xdr:to>
    <xdr:graphicFrame macro="">
      <xdr:nvGraphicFramePr>
        <xdr:cNvPr id="13" name="Chart 12">
          <a:extLst>
            <a:ext uri="{FF2B5EF4-FFF2-40B4-BE49-F238E27FC236}">
              <a16:creationId xmlns:a16="http://schemas.microsoft.com/office/drawing/2014/main" id="{19071401-9725-40D6-A478-045BCB6BF5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32</xdr:col>
      <xdr:colOff>67734</xdr:colOff>
      <xdr:row>26</xdr:row>
      <xdr:rowOff>177800</xdr:rowOff>
    </xdr:from>
    <xdr:to>
      <xdr:col>37</xdr:col>
      <xdr:colOff>488526</xdr:colOff>
      <xdr:row>36</xdr:row>
      <xdr:rowOff>67733</xdr:rowOff>
    </xdr:to>
    <xdr:graphicFrame macro="">
      <xdr:nvGraphicFramePr>
        <xdr:cNvPr id="14" name="Chart 13">
          <a:extLst>
            <a:ext uri="{FF2B5EF4-FFF2-40B4-BE49-F238E27FC236}">
              <a16:creationId xmlns:a16="http://schemas.microsoft.com/office/drawing/2014/main" id="{91FD7627-7392-49DA-B698-2EF0015A6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36</xdr:col>
      <xdr:colOff>169333</xdr:colOff>
      <xdr:row>30</xdr:row>
      <xdr:rowOff>101599</xdr:rowOff>
    </xdr:from>
    <xdr:to>
      <xdr:col>36</xdr:col>
      <xdr:colOff>558800</xdr:colOff>
      <xdr:row>31</xdr:row>
      <xdr:rowOff>84669</xdr:rowOff>
    </xdr:to>
    <xdr:sp macro="" textlink="">
      <xdr:nvSpPr>
        <xdr:cNvPr id="15" name="TextBox 14">
          <a:extLst>
            <a:ext uri="{FF2B5EF4-FFF2-40B4-BE49-F238E27FC236}">
              <a16:creationId xmlns:a16="http://schemas.microsoft.com/office/drawing/2014/main" id="{3234FB1B-02BE-4476-B1B1-912407262F91}"/>
            </a:ext>
          </a:extLst>
        </xdr:cNvPr>
        <xdr:cNvSpPr txBox="1"/>
      </xdr:nvSpPr>
      <xdr:spPr>
        <a:xfrm>
          <a:off x="2387600" y="12403666"/>
          <a:ext cx="389467" cy="169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1">
                  <a:lumMod val="75000"/>
                </a:schemeClr>
              </a:solidFill>
            </a:rPr>
            <a:t>ICR</a:t>
          </a:r>
        </a:p>
      </xdr:txBody>
    </xdr:sp>
    <xdr:clientData/>
  </xdr:twoCellAnchor>
  <xdr:twoCellAnchor>
    <xdr:from>
      <xdr:col>36</xdr:col>
      <xdr:colOff>330199</xdr:colOff>
      <xdr:row>32</xdr:row>
      <xdr:rowOff>93133</xdr:rowOff>
    </xdr:from>
    <xdr:to>
      <xdr:col>37</xdr:col>
      <xdr:colOff>143933</xdr:colOff>
      <xdr:row>33</xdr:row>
      <xdr:rowOff>84667</xdr:rowOff>
    </xdr:to>
    <xdr:sp macro="" textlink="">
      <xdr:nvSpPr>
        <xdr:cNvPr id="16" name="TextBox 15">
          <a:extLst>
            <a:ext uri="{FF2B5EF4-FFF2-40B4-BE49-F238E27FC236}">
              <a16:creationId xmlns:a16="http://schemas.microsoft.com/office/drawing/2014/main" id="{444CD3D8-867A-4F5B-8E64-D84F49C44F5E}"/>
            </a:ext>
          </a:extLst>
        </xdr:cNvPr>
        <xdr:cNvSpPr txBox="1"/>
      </xdr:nvSpPr>
      <xdr:spPr>
        <a:xfrm>
          <a:off x="2548466" y="12767733"/>
          <a:ext cx="423334"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DSCR</a:t>
          </a:r>
        </a:p>
      </xdr:txBody>
    </xdr:sp>
    <xdr:clientData/>
  </xdr:twoCellAnchor>
  <xdr:twoCellAnchor>
    <xdr:from>
      <xdr:col>6</xdr:col>
      <xdr:colOff>431802</xdr:colOff>
      <xdr:row>25</xdr:row>
      <xdr:rowOff>33864</xdr:rowOff>
    </xdr:from>
    <xdr:to>
      <xdr:col>7</xdr:col>
      <xdr:colOff>245536</xdr:colOff>
      <xdr:row>26</xdr:row>
      <xdr:rowOff>25399</xdr:rowOff>
    </xdr:to>
    <xdr:sp macro="" textlink="">
      <xdr:nvSpPr>
        <xdr:cNvPr id="17" name="TextBox 16">
          <a:extLst>
            <a:ext uri="{FF2B5EF4-FFF2-40B4-BE49-F238E27FC236}">
              <a16:creationId xmlns:a16="http://schemas.microsoft.com/office/drawing/2014/main" id="{B2685FFE-4161-4320-BC68-9683B7ACF91E}"/>
            </a:ext>
          </a:extLst>
        </xdr:cNvPr>
        <xdr:cNvSpPr txBox="1"/>
      </xdr:nvSpPr>
      <xdr:spPr>
        <a:xfrm>
          <a:off x="2650069" y="4512731"/>
          <a:ext cx="423334"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Stand</a:t>
          </a:r>
        </a:p>
      </xdr:txBody>
    </xdr:sp>
    <xdr:clientData/>
  </xdr:twoCellAnchor>
  <xdr:twoCellAnchor>
    <xdr:from>
      <xdr:col>6</xdr:col>
      <xdr:colOff>431802</xdr:colOff>
      <xdr:row>25</xdr:row>
      <xdr:rowOff>152408</xdr:rowOff>
    </xdr:from>
    <xdr:to>
      <xdr:col>7</xdr:col>
      <xdr:colOff>533403</xdr:colOff>
      <xdr:row>27</xdr:row>
      <xdr:rowOff>9</xdr:rowOff>
    </xdr:to>
    <xdr:sp macro="" textlink="">
      <xdr:nvSpPr>
        <xdr:cNvPr id="18" name="TextBox 17">
          <a:extLst>
            <a:ext uri="{FF2B5EF4-FFF2-40B4-BE49-F238E27FC236}">
              <a16:creationId xmlns:a16="http://schemas.microsoft.com/office/drawing/2014/main" id="{861AEF37-A5B4-4420-B923-76714573E327}"/>
            </a:ext>
          </a:extLst>
        </xdr:cNvPr>
        <xdr:cNvSpPr txBox="1"/>
      </xdr:nvSpPr>
      <xdr:spPr>
        <a:xfrm>
          <a:off x="2650069" y="4631275"/>
          <a:ext cx="711201" cy="220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1">
                  <a:lumMod val="75000"/>
                </a:schemeClr>
              </a:solidFill>
            </a:rPr>
            <a:t>Kasstroom</a:t>
          </a:r>
        </a:p>
      </xdr:txBody>
    </xdr:sp>
    <xdr:clientData/>
  </xdr:twoCellAnchor>
  <xdr:twoCellAnchor>
    <xdr:from>
      <xdr:col>15</xdr:col>
      <xdr:colOff>0</xdr:colOff>
      <xdr:row>13</xdr:row>
      <xdr:rowOff>0</xdr:rowOff>
    </xdr:from>
    <xdr:to>
      <xdr:col>20</xdr:col>
      <xdr:colOff>5926</xdr:colOff>
      <xdr:row>22</xdr:row>
      <xdr:rowOff>76200</xdr:rowOff>
    </xdr:to>
    <xdr:graphicFrame macro="">
      <xdr:nvGraphicFramePr>
        <xdr:cNvPr id="19" name="Chart 18">
          <a:extLst>
            <a:ext uri="{FF2B5EF4-FFF2-40B4-BE49-F238E27FC236}">
              <a16:creationId xmlns:a16="http://schemas.microsoft.com/office/drawing/2014/main" id="{787AA178-210E-4B97-A8FD-34290610E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440267</xdr:colOff>
      <xdr:row>5</xdr:row>
      <xdr:rowOff>101600</xdr:rowOff>
    </xdr:from>
    <xdr:to>
      <xdr:col>16</xdr:col>
      <xdr:colOff>601134</xdr:colOff>
      <xdr:row>7</xdr:row>
      <xdr:rowOff>101601</xdr:rowOff>
    </xdr:to>
    <xdr:sp macro="" textlink="">
      <xdr:nvSpPr>
        <xdr:cNvPr id="20" name="TextBox 19">
          <a:extLst>
            <a:ext uri="{FF2B5EF4-FFF2-40B4-BE49-F238E27FC236}">
              <a16:creationId xmlns:a16="http://schemas.microsoft.com/office/drawing/2014/main" id="{C5F2D860-2894-4061-89A7-F482C9977E49}"/>
            </a:ext>
          </a:extLst>
        </xdr:cNvPr>
        <xdr:cNvSpPr txBox="1"/>
      </xdr:nvSpPr>
      <xdr:spPr>
        <a:xfrm>
          <a:off x="7171267" y="855133"/>
          <a:ext cx="770467" cy="37253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700">
              <a:solidFill>
                <a:schemeClr val="accent2"/>
              </a:solidFill>
            </a:rPr>
            <a:t>Overige</a:t>
          </a:r>
        </a:p>
        <a:p>
          <a:r>
            <a:rPr lang="nl-NL" sz="700" baseline="0">
              <a:solidFill>
                <a:schemeClr val="accent1">
                  <a:lumMod val="75000"/>
                </a:schemeClr>
              </a:solidFill>
            </a:rPr>
            <a:t>Productgroep</a:t>
          </a:r>
        </a:p>
        <a:p>
          <a:endParaRPr lang="nl-NL" sz="700">
            <a:solidFill>
              <a:schemeClr val="accent1">
                <a:lumMod val="75000"/>
              </a:schemeClr>
            </a:solidFill>
          </a:endParaRPr>
        </a:p>
      </xdr:txBody>
    </xdr:sp>
    <xdr:clientData/>
  </xdr:twoCellAnchor>
  <xdr:twoCellAnchor>
    <xdr:from>
      <xdr:col>9</xdr:col>
      <xdr:colOff>42335</xdr:colOff>
      <xdr:row>13</xdr:row>
      <xdr:rowOff>0</xdr:rowOff>
    </xdr:from>
    <xdr:to>
      <xdr:col>14</xdr:col>
      <xdr:colOff>8469</xdr:colOff>
      <xdr:row>22</xdr:row>
      <xdr:rowOff>101602</xdr:rowOff>
    </xdr:to>
    <xdr:graphicFrame macro="">
      <xdr:nvGraphicFramePr>
        <xdr:cNvPr id="21" name="Chart 20">
          <a:extLst>
            <a:ext uri="{FF2B5EF4-FFF2-40B4-BE49-F238E27FC236}">
              <a16:creationId xmlns:a16="http://schemas.microsoft.com/office/drawing/2014/main" id="{F870BB70-D2EF-4CB1-ACAB-6FA239CED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xdr:col>
      <xdr:colOff>67734</xdr:colOff>
      <xdr:row>16</xdr:row>
      <xdr:rowOff>42337</xdr:rowOff>
    </xdr:from>
    <xdr:to>
      <xdr:col>11</xdr:col>
      <xdr:colOff>304800</xdr:colOff>
      <xdr:row>17</xdr:row>
      <xdr:rowOff>33872</xdr:rowOff>
    </xdr:to>
    <xdr:sp macro="" textlink="">
      <xdr:nvSpPr>
        <xdr:cNvPr id="23" name="TextBox 22">
          <a:extLst>
            <a:ext uri="{FF2B5EF4-FFF2-40B4-BE49-F238E27FC236}">
              <a16:creationId xmlns:a16="http://schemas.microsoft.com/office/drawing/2014/main" id="{4026F7A0-6CEF-4689-9685-B691BF97E23A}"/>
            </a:ext>
          </a:extLst>
        </xdr:cNvPr>
        <xdr:cNvSpPr txBox="1"/>
      </xdr:nvSpPr>
      <xdr:spPr>
        <a:xfrm>
          <a:off x="4241801" y="2844804"/>
          <a:ext cx="846666"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Resultaat</a:t>
          </a:r>
          <a:r>
            <a:rPr lang="nl-NL" sz="800" baseline="0">
              <a:solidFill>
                <a:schemeClr val="accent2"/>
              </a:solidFill>
            </a:rPr>
            <a:t> %</a:t>
          </a:r>
          <a:endParaRPr lang="nl-NL" sz="800">
            <a:solidFill>
              <a:schemeClr val="accent2"/>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nowyourfinance.nl/" TargetMode="External"/><Relationship Id="rId1" Type="http://schemas.openxmlformats.org/officeDocument/2006/relationships/hyperlink" Target="mailto:info@knowyourfinance.n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FB8D-46D4-46AC-B09A-F84FB8CE760C}">
  <dimension ref="B2:F13"/>
  <sheetViews>
    <sheetView showGridLines="0" zoomScale="90" zoomScaleNormal="90" workbookViewId="0"/>
  </sheetViews>
  <sheetFormatPr defaultColWidth="9.109375" defaultRowHeight="14.4" x14ac:dyDescent="0.3"/>
  <cols>
    <col min="1" max="1" width="2.21875" style="7" customWidth="1"/>
    <col min="2" max="2" width="106.88671875" style="7" customWidth="1"/>
    <col min="3" max="3" width="9.109375" style="7"/>
    <col min="4" max="4" width="91.5546875" style="7" customWidth="1"/>
    <col min="5" max="16384" width="9.109375" style="7"/>
  </cols>
  <sheetData>
    <row r="2" spans="2:6" x14ac:dyDescent="0.3">
      <c r="B2" s="215" t="s">
        <v>159</v>
      </c>
      <c r="C2" s="6"/>
      <c r="D2" s="6"/>
      <c r="E2" s="6"/>
      <c r="F2" s="6"/>
    </row>
    <row r="4" spans="2:6" ht="48.6" customHeight="1" x14ac:dyDescent="0.3">
      <c r="B4" s="29" t="s">
        <v>403</v>
      </c>
    </row>
    <row r="5" spans="2:6" x14ac:dyDescent="0.3">
      <c r="B5" s="7" t="s">
        <v>404</v>
      </c>
    </row>
    <row r="6" spans="2:6" ht="46.2" customHeight="1" x14ac:dyDescent="0.3">
      <c r="B6" s="7" t="s">
        <v>405</v>
      </c>
    </row>
    <row r="7" spans="2:6" s="29" customFormat="1" ht="82.2" customHeight="1" x14ac:dyDescent="0.3">
      <c r="B7" s="7" t="s">
        <v>345</v>
      </c>
    </row>
    <row r="8" spans="2:6" s="29" customFormat="1" ht="34.200000000000003" customHeight="1" x14ac:dyDescent="0.3">
      <c r="B8" s="7" t="s">
        <v>346</v>
      </c>
    </row>
    <row r="9" spans="2:6" ht="78" customHeight="1" x14ac:dyDescent="0.3">
      <c r="B9" s="7" t="s">
        <v>406</v>
      </c>
    </row>
    <row r="10" spans="2:6" ht="33.6" customHeight="1" x14ac:dyDescent="0.3"/>
    <row r="11" spans="2:6" ht="62.4" customHeight="1" x14ac:dyDescent="0.3"/>
    <row r="12" spans="2:6" ht="51.6" customHeight="1" x14ac:dyDescent="0.3"/>
    <row r="13" spans="2:6" ht="62.4" customHeight="1" x14ac:dyDescent="0.3"/>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O68"/>
  <sheetViews>
    <sheetView showGridLines="0" zoomScale="90" zoomScaleNormal="90" workbookViewId="0"/>
  </sheetViews>
  <sheetFormatPr defaultColWidth="9.109375" defaultRowHeight="14.4" outlineLevelRow="1" x14ac:dyDescent="0.3"/>
  <cols>
    <col min="1" max="1" width="2.21875" style="7" customWidth="1"/>
    <col min="2" max="2" width="106.88671875" style="7" customWidth="1"/>
    <col min="3" max="16384" width="9.109375" style="7"/>
  </cols>
  <sheetData>
    <row r="2" spans="2:6" ht="15.6" x14ac:dyDescent="0.3">
      <c r="B2" s="12" t="s">
        <v>158</v>
      </c>
    </row>
    <row r="4" spans="2:6" x14ac:dyDescent="0.3">
      <c r="B4" s="215" t="s">
        <v>337</v>
      </c>
      <c r="C4" s="6"/>
      <c r="D4" s="6"/>
      <c r="E4" s="6"/>
      <c r="F4" s="6"/>
    </row>
    <row r="5" spans="2:6" s="29" customFormat="1" outlineLevel="1" x14ac:dyDescent="0.3"/>
    <row r="6" spans="2:6" ht="48.6" customHeight="1" outlineLevel="1" x14ac:dyDescent="0.3">
      <c r="B6" s="7" t="s">
        <v>407</v>
      </c>
      <c r="D6" s="126"/>
    </row>
    <row r="7" spans="2:6" ht="49.2" customHeight="1" outlineLevel="1" x14ac:dyDescent="0.3">
      <c r="B7" s="7" t="s">
        <v>338</v>
      </c>
    </row>
    <row r="8" spans="2:6" outlineLevel="1" x14ac:dyDescent="0.3">
      <c r="B8" s="127" t="s">
        <v>339</v>
      </c>
      <c r="D8" s="128"/>
    </row>
    <row r="9" spans="2:6" outlineLevel="1" x14ac:dyDescent="0.3">
      <c r="B9" s="127" t="s">
        <v>340</v>
      </c>
      <c r="D9" s="128"/>
    </row>
    <row r="10" spans="2:6" ht="16.8" x14ac:dyDescent="0.3">
      <c r="B10" s="128"/>
      <c r="D10" s="126"/>
    </row>
    <row r="11" spans="2:6" x14ac:dyDescent="0.3">
      <c r="B11" s="215" t="s">
        <v>341</v>
      </c>
      <c r="C11" s="6"/>
      <c r="D11" s="6"/>
      <c r="E11" s="6"/>
      <c r="F11" s="6"/>
    </row>
    <row r="12" spans="2:6" s="29" customFormat="1" outlineLevel="1" x14ac:dyDescent="0.3"/>
    <row r="13" spans="2:6" s="29" customFormat="1" outlineLevel="1" x14ac:dyDescent="0.3">
      <c r="B13" s="29" t="s">
        <v>342</v>
      </c>
    </row>
    <row r="14" spans="2:6" s="29" customFormat="1" ht="48" customHeight="1" outlineLevel="1" x14ac:dyDescent="0.3">
      <c r="B14" s="29" t="s">
        <v>408</v>
      </c>
    </row>
    <row r="15" spans="2:6" s="29" customFormat="1" ht="75.599999999999994" customHeight="1" outlineLevel="1" x14ac:dyDescent="0.3">
      <c r="B15" s="29" t="s">
        <v>409</v>
      </c>
    </row>
    <row r="16" spans="2:6" s="29" customFormat="1" outlineLevel="1" x14ac:dyDescent="0.3"/>
    <row r="17" spans="2:15" s="29" customFormat="1" ht="28.8" outlineLevel="1" x14ac:dyDescent="0.3">
      <c r="B17" s="29" t="s">
        <v>410</v>
      </c>
    </row>
    <row r="18" spans="2:15" outlineLevel="1" x14ac:dyDescent="0.3">
      <c r="B18" s="7" t="s">
        <v>233</v>
      </c>
    </row>
    <row r="19" spans="2:15" outlineLevel="1" x14ac:dyDescent="0.3">
      <c r="B19" s="7" t="s">
        <v>245</v>
      </c>
    </row>
    <row r="20" spans="2:15" outlineLevel="1" x14ac:dyDescent="0.3">
      <c r="B20" s="7" t="s">
        <v>265</v>
      </c>
    </row>
    <row r="21" spans="2:15" customFormat="1" outlineLevel="1" x14ac:dyDescent="0.3">
      <c r="B21" s="7" t="s">
        <v>411</v>
      </c>
      <c r="L21" s="4"/>
      <c r="M21" s="4"/>
      <c r="N21" s="4"/>
      <c r="O21" s="4"/>
    </row>
    <row r="22" spans="2:15" ht="50.4" customHeight="1" outlineLevel="1" x14ac:dyDescent="0.3">
      <c r="B22" s="7" t="s">
        <v>329</v>
      </c>
    </row>
    <row r="23" spans="2:15" customFormat="1" outlineLevel="1" x14ac:dyDescent="0.3">
      <c r="B23" s="7"/>
      <c r="L23" s="4"/>
      <c r="M23" s="4"/>
      <c r="N23" s="4"/>
      <c r="O23" s="4"/>
    </row>
    <row r="24" spans="2:15" ht="33" customHeight="1" outlineLevel="1" x14ac:dyDescent="0.3">
      <c r="B24" s="7" t="s">
        <v>157</v>
      </c>
    </row>
    <row r="26" spans="2:15" x14ac:dyDescent="0.3">
      <c r="B26" s="215" t="s">
        <v>151</v>
      </c>
      <c r="C26" s="6"/>
      <c r="D26" s="6"/>
      <c r="E26" s="6"/>
      <c r="F26" s="6"/>
    </row>
    <row r="27" spans="2:15" outlineLevel="1" x14ac:dyDescent="0.3">
      <c r="B27" s="29"/>
      <c r="C27" s="82"/>
      <c r="D27" s="82"/>
      <c r="E27" s="82"/>
      <c r="F27" s="82"/>
    </row>
    <row r="28" spans="2:15" outlineLevel="1" x14ac:dyDescent="0.3">
      <c r="B28" s="83" t="s">
        <v>257</v>
      </c>
      <c r="C28" s="82"/>
      <c r="D28" s="82"/>
      <c r="E28" s="82"/>
      <c r="F28" s="82"/>
    </row>
    <row r="29" spans="2:15" outlineLevel="1" x14ac:dyDescent="0.3">
      <c r="B29" s="7" t="s">
        <v>152</v>
      </c>
    </row>
    <row r="30" spans="2:15" outlineLevel="1" x14ac:dyDescent="0.3">
      <c r="B30" s="8" t="s">
        <v>153</v>
      </c>
    </row>
    <row r="31" spans="2:15" outlineLevel="1" x14ac:dyDescent="0.3">
      <c r="B31" s="7" t="s">
        <v>154</v>
      </c>
    </row>
    <row r="32" spans="2:15" outlineLevel="1" x14ac:dyDescent="0.3">
      <c r="B32" s="129" t="s">
        <v>309</v>
      </c>
    </row>
    <row r="33" spans="2:2" outlineLevel="1" x14ac:dyDescent="0.3">
      <c r="B33" s="29" t="s">
        <v>343</v>
      </c>
    </row>
    <row r="34" spans="2:2" ht="28.8" customHeight="1" outlineLevel="1" x14ac:dyDescent="0.3">
      <c r="B34" s="7" t="s">
        <v>155</v>
      </c>
    </row>
    <row r="35" spans="2:2" outlineLevel="1" x14ac:dyDescent="0.3">
      <c r="B35" s="29"/>
    </row>
    <row r="36" spans="2:2" outlineLevel="1" x14ac:dyDescent="0.3">
      <c r="B36" s="83" t="s">
        <v>258</v>
      </c>
    </row>
    <row r="37" spans="2:2" outlineLevel="1" x14ac:dyDescent="0.3">
      <c r="B37" s="7" t="s">
        <v>260</v>
      </c>
    </row>
    <row r="38" spans="2:2" outlineLevel="1" x14ac:dyDescent="0.3">
      <c r="B38" s="7" t="s">
        <v>412</v>
      </c>
    </row>
    <row r="39" spans="2:2" outlineLevel="1" x14ac:dyDescent="0.3">
      <c r="B39" s="7" t="s">
        <v>261</v>
      </c>
    </row>
    <row r="40" spans="2:2" outlineLevel="1" x14ac:dyDescent="0.3">
      <c r="B40" s="7" t="s">
        <v>262</v>
      </c>
    </row>
    <row r="41" spans="2:2" ht="50.4" customHeight="1" outlineLevel="1" x14ac:dyDescent="0.3">
      <c r="B41" s="7" t="s">
        <v>299</v>
      </c>
    </row>
    <row r="42" spans="2:2" ht="50.4" customHeight="1" outlineLevel="1" x14ac:dyDescent="0.3">
      <c r="B42" s="7" t="s">
        <v>329</v>
      </c>
    </row>
    <row r="43" spans="2:2" ht="28.8" outlineLevel="1" x14ac:dyDescent="0.3">
      <c r="B43" s="7" t="s">
        <v>251</v>
      </c>
    </row>
    <row r="44" spans="2:2" outlineLevel="1" x14ac:dyDescent="0.3">
      <c r="B44" s="29"/>
    </row>
    <row r="45" spans="2:2" outlineLevel="1" x14ac:dyDescent="0.3">
      <c r="B45" s="83" t="s">
        <v>263</v>
      </c>
    </row>
    <row r="46" spans="2:2" ht="32.4" customHeight="1" outlineLevel="1" x14ac:dyDescent="0.3">
      <c r="B46" s="7" t="s">
        <v>264</v>
      </c>
    </row>
    <row r="47" spans="2:2" ht="32.4" customHeight="1" outlineLevel="1" x14ac:dyDescent="0.3">
      <c r="B47" s="7" t="s">
        <v>413</v>
      </c>
    </row>
    <row r="48" spans="2:2" ht="16.8" customHeight="1" x14ac:dyDescent="0.3"/>
    <row r="49" spans="2:6" x14ac:dyDescent="0.3">
      <c r="B49" s="215" t="s">
        <v>259</v>
      </c>
      <c r="C49" s="6"/>
      <c r="D49" s="6"/>
      <c r="E49" s="6"/>
      <c r="F49" s="6"/>
    </row>
    <row r="50" spans="2:6" outlineLevel="1" x14ac:dyDescent="0.3"/>
    <row r="51" spans="2:6" outlineLevel="1" x14ac:dyDescent="0.3">
      <c r="B51" s="7" t="s">
        <v>156</v>
      </c>
    </row>
    <row r="52" spans="2:6" outlineLevel="1" x14ac:dyDescent="0.3"/>
    <row r="53" spans="2:6" outlineLevel="1" x14ac:dyDescent="0.3">
      <c r="B53" s="111" t="s">
        <v>301</v>
      </c>
    </row>
    <row r="54" spans="2:6" outlineLevel="1" x14ac:dyDescent="0.3">
      <c r="B54" s="8" t="s">
        <v>414</v>
      </c>
    </row>
    <row r="55" spans="2:6" outlineLevel="1" x14ac:dyDescent="0.3">
      <c r="B55" s="8" t="s">
        <v>347</v>
      </c>
    </row>
    <row r="56" spans="2:6" outlineLevel="1" x14ac:dyDescent="0.3">
      <c r="B56" s="8" t="s">
        <v>300</v>
      </c>
    </row>
    <row r="57" spans="2:6" outlineLevel="1" x14ac:dyDescent="0.3"/>
    <row r="58" spans="2:6" outlineLevel="1" x14ac:dyDescent="0.3">
      <c r="B58" s="111" t="s">
        <v>302</v>
      </c>
    </row>
    <row r="59" spans="2:6" outlineLevel="1" x14ac:dyDescent="0.3">
      <c r="B59" s="8" t="s">
        <v>303</v>
      </c>
    </row>
    <row r="60" spans="2:6" outlineLevel="1" x14ac:dyDescent="0.3">
      <c r="B60" s="8" t="s">
        <v>304</v>
      </c>
    </row>
    <row r="61" spans="2:6" ht="30" customHeight="1" outlineLevel="1" x14ac:dyDescent="0.3">
      <c r="B61" s="8" t="s">
        <v>305</v>
      </c>
    </row>
    <row r="62" spans="2:6" outlineLevel="1" x14ac:dyDescent="0.3">
      <c r="B62" s="8" t="s">
        <v>306</v>
      </c>
    </row>
    <row r="63" spans="2:6" outlineLevel="1" x14ac:dyDescent="0.3">
      <c r="B63" s="8"/>
    </row>
    <row r="64" spans="2:6" outlineLevel="1" x14ac:dyDescent="0.3">
      <c r="B64" s="111" t="s">
        <v>307</v>
      </c>
    </row>
    <row r="65" spans="2:2" ht="28.8" outlineLevel="1" x14ac:dyDescent="0.3">
      <c r="B65" s="8" t="s">
        <v>344</v>
      </c>
    </row>
    <row r="66" spans="2:2" outlineLevel="1" x14ac:dyDescent="0.3">
      <c r="B66" s="8" t="s">
        <v>215</v>
      </c>
    </row>
    <row r="67" spans="2:2" outlineLevel="1" x14ac:dyDescent="0.3">
      <c r="B67" s="8" t="s">
        <v>308</v>
      </c>
    </row>
    <row r="68" spans="2:2" x14ac:dyDescent="0.3">
      <c r="B68" s="8"/>
    </row>
  </sheetData>
  <hyperlinks>
    <hyperlink ref="B8" r:id="rId1" xr:uid="{7CC75061-1EB2-401C-BCAB-7E940367E23C}"/>
    <hyperlink ref="B9" r:id="rId2" xr:uid="{AD4B3D73-BD34-4D21-AFAE-B5411F74EA64}"/>
  </hyperlinks>
  <pageMargins left="0.7" right="0.7" top="0.75" bottom="0.75" header="0.3" footer="0.3"/>
  <pageSetup paperSize="9" orientation="portrait"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5AA2-DEE8-4C30-9EEF-CC8CF45AD0B9}">
  <dimension ref="B2:C29"/>
  <sheetViews>
    <sheetView showGridLines="0" workbookViewId="0"/>
  </sheetViews>
  <sheetFormatPr defaultRowHeight="14.4" x14ac:dyDescent="0.3"/>
  <cols>
    <col min="1" max="1" width="2.21875" customWidth="1"/>
    <col min="2" max="2" width="12.44140625" customWidth="1"/>
    <col min="3" max="3" width="46.33203125" customWidth="1"/>
  </cols>
  <sheetData>
    <row r="2" spans="2:3" s="7" customFormat="1" x14ac:dyDescent="0.3">
      <c r="B2" s="197" t="s">
        <v>70</v>
      </c>
      <c r="C2" s="197"/>
    </row>
    <row r="3" spans="2:3" s="7" customFormat="1" x14ac:dyDescent="0.3">
      <c r="B3" s="30"/>
    </row>
    <row r="4" spans="2:3" s="7" customFormat="1" x14ac:dyDescent="0.3">
      <c r="B4" s="30" t="s">
        <v>90</v>
      </c>
      <c r="C4" s="7" t="s">
        <v>8</v>
      </c>
    </row>
    <row r="5" spans="2:3" s="7" customFormat="1" x14ac:dyDescent="0.3">
      <c r="B5" s="30" t="s">
        <v>71</v>
      </c>
      <c r="C5" s="7" t="s">
        <v>330</v>
      </c>
    </row>
    <row r="6" spans="2:3" s="7" customFormat="1" ht="28.8" x14ac:dyDescent="0.3">
      <c r="B6" s="30" t="s">
        <v>34</v>
      </c>
      <c r="C6" s="7" t="s">
        <v>216</v>
      </c>
    </row>
    <row r="7" spans="2:3" s="7" customFormat="1" x14ac:dyDescent="0.3">
      <c r="B7" s="30" t="s">
        <v>219</v>
      </c>
      <c r="C7" s="7" t="s">
        <v>220</v>
      </c>
    </row>
    <row r="8" spans="2:3" s="7" customFormat="1" x14ac:dyDescent="0.3">
      <c r="B8" s="30" t="s">
        <v>222</v>
      </c>
      <c r="C8" s="7" t="s">
        <v>77</v>
      </c>
    </row>
    <row r="9" spans="2:3" s="7" customFormat="1" ht="28.8" x14ac:dyDescent="0.3">
      <c r="B9" s="30" t="s">
        <v>38</v>
      </c>
      <c r="C9" s="7" t="s">
        <v>218</v>
      </c>
    </row>
    <row r="10" spans="2:3" s="7" customFormat="1" x14ac:dyDescent="0.3">
      <c r="B10" s="30" t="s">
        <v>91</v>
      </c>
      <c r="C10" s="7" t="s">
        <v>92</v>
      </c>
    </row>
    <row r="11" spans="2:3" s="7" customFormat="1" x14ac:dyDescent="0.3">
      <c r="B11" s="30" t="s">
        <v>221</v>
      </c>
      <c r="C11" s="7" t="s">
        <v>100</v>
      </c>
    </row>
    <row r="12" spans="2:3" s="7" customFormat="1" x14ac:dyDescent="0.3">
      <c r="B12" s="30" t="s">
        <v>217</v>
      </c>
      <c r="C12" s="7" t="s">
        <v>2</v>
      </c>
    </row>
    <row r="13" spans="2:3" s="7" customFormat="1" x14ac:dyDescent="0.3">
      <c r="B13" s="30" t="s">
        <v>73</v>
      </c>
      <c r="C13" s="7" t="s">
        <v>74</v>
      </c>
    </row>
    <row r="14" spans="2:3" s="7" customFormat="1" x14ac:dyDescent="0.3">
      <c r="B14" s="30" t="s">
        <v>225</v>
      </c>
      <c r="C14" s="7" t="s">
        <v>226</v>
      </c>
    </row>
    <row r="15" spans="2:3" s="7" customFormat="1" x14ac:dyDescent="0.3">
      <c r="B15" s="30" t="s">
        <v>229</v>
      </c>
      <c r="C15" s="7" t="s">
        <v>230</v>
      </c>
    </row>
    <row r="16" spans="2:3" s="7" customFormat="1" x14ac:dyDescent="0.3">
      <c r="B16" s="30" t="s">
        <v>231</v>
      </c>
      <c r="C16" s="7" t="s">
        <v>232</v>
      </c>
    </row>
    <row r="17" spans="2:3" s="7" customFormat="1" x14ac:dyDescent="0.3">
      <c r="B17" s="30" t="s">
        <v>223</v>
      </c>
      <c r="C17" s="7" t="s">
        <v>224</v>
      </c>
    </row>
    <row r="18" spans="2:3" s="7" customFormat="1" x14ac:dyDescent="0.3">
      <c r="B18" s="30" t="s">
        <v>89</v>
      </c>
      <c r="C18" s="7" t="s">
        <v>36</v>
      </c>
    </row>
    <row r="19" spans="2:3" s="7" customFormat="1" x14ac:dyDescent="0.3">
      <c r="B19" s="7" t="s">
        <v>227</v>
      </c>
      <c r="C19" s="7" t="s">
        <v>228</v>
      </c>
    </row>
    <row r="20" spans="2:3" s="7" customFormat="1" x14ac:dyDescent="0.3"/>
    <row r="21" spans="2:3" s="7" customFormat="1" x14ac:dyDescent="0.3"/>
    <row r="22" spans="2:3" s="7" customFormat="1" x14ac:dyDescent="0.3"/>
    <row r="23" spans="2:3" s="7" customFormat="1" x14ac:dyDescent="0.3"/>
    <row r="24" spans="2:3" s="7" customFormat="1" x14ac:dyDescent="0.3"/>
    <row r="25" spans="2:3" s="7" customFormat="1" x14ac:dyDescent="0.3"/>
    <row r="26" spans="2:3" s="7" customFormat="1" x14ac:dyDescent="0.3"/>
    <row r="27" spans="2:3" s="7" customFormat="1" x14ac:dyDescent="0.3"/>
    <row r="28" spans="2:3" s="7" customFormat="1" x14ac:dyDescent="0.3"/>
    <row r="29" spans="2:3" s="7" customFormat="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32EF-EC6D-4AE9-A404-D277724C4416}">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F0162-15B1-4A03-9A17-67751E9E6D77}">
  <dimension ref="B1:E31"/>
  <sheetViews>
    <sheetView showGridLines="0" workbookViewId="0"/>
  </sheetViews>
  <sheetFormatPr defaultRowHeight="14.4" x14ac:dyDescent="0.3"/>
  <cols>
    <col min="1" max="1" width="2.21875" customWidth="1"/>
    <col min="2" max="2" width="14.6640625" style="140" customWidth="1"/>
    <col min="3" max="3" width="2.33203125" customWidth="1"/>
    <col min="4" max="4" width="21.33203125" customWidth="1"/>
    <col min="5" max="5" width="76.33203125" customWidth="1"/>
  </cols>
  <sheetData>
    <row r="1" spans="2:5" ht="7.8" customHeight="1" x14ac:dyDescent="0.3"/>
    <row r="2" spans="2:5" s="7" customFormat="1" x14ac:dyDescent="0.3">
      <c r="B2" s="196" t="s">
        <v>371</v>
      </c>
      <c r="C2" s="197"/>
      <c r="D2" s="197"/>
      <c r="E2" s="197"/>
    </row>
    <row r="3" spans="2:5" s="7" customFormat="1" x14ac:dyDescent="0.3">
      <c r="B3" s="198"/>
    </row>
    <row r="4" spans="2:5" s="7" customFormat="1" ht="21" customHeight="1" x14ac:dyDescent="0.3">
      <c r="B4" s="199" t="s">
        <v>372</v>
      </c>
      <c r="C4" s="111"/>
      <c r="D4" s="111" t="s">
        <v>373</v>
      </c>
      <c r="E4" s="111" t="s">
        <v>18</v>
      </c>
    </row>
    <row r="5" spans="2:5" s="7" customFormat="1" x14ac:dyDescent="0.3">
      <c r="B5" s="200">
        <f>SUM(B6:B25)</f>
        <v>0</v>
      </c>
      <c r="C5" s="111"/>
      <c r="D5" s="111" t="s">
        <v>374</v>
      </c>
      <c r="E5" s="111" t="s">
        <v>375</v>
      </c>
    </row>
    <row r="6" spans="2:5" s="7" customFormat="1" x14ac:dyDescent="0.3">
      <c r="B6" s="199"/>
      <c r="C6" s="111"/>
      <c r="D6" s="111"/>
      <c r="E6" s="111"/>
    </row>
    <row r="7" spans="2:5" s="7" customFormat="1" x14ac:dyDescent="0.3">
      <c r="B7" s="201"/>
      <c r="C7" s="202"/>
      <c r="D7" s="202"/>
      <c r="E7" s="202"/>
    </row>
    <row r="8" spans="2:5" s="7" customFormat="1" x14ac:dyDescent="0.3">
      <c r="B8" s="200">
        <f>SUM('1. Realisatie RR en BS'!66:66)</f>
        <v>0</v>
      </c>
      <c r="D8" s="203" t="s">
        <v>376</v>
      </c>
      <c r="E8" s="205" t="s">
        <v>377</v>
      </c>
    </row>
    <row r="9" spans="2:5" s="7" customFormat="1" x14ac:dyDescent="0.3">
      <c r="B9" s="200">
        <f>SUM('1. Realisatie RR en BS'!72:72)</f>
        <v>0</v>
      </c>
      <c r="D9" s="203" t="s">
        <v>376</v>
      </c>
      <c r="E9" s="207" t="s">
        <v>378</v>
      </c>
    </row>
    <row r="10" spans="2:5" s="7" customFormat="1" x14ac:dyDescent="0.3">
      <c r="B10" s="204"/>
      <c r="E10" s="207"/>
    </row>
    <row r="11" spans="2:5" s="7" customFormat="1" x14ac:dyDescent="0.3">
      <c r="B11" s="200">
        <f>SUM('2. Prognose RR'!81:81)</f>
        <v>0</v>
      </c>
      <c r="D11" s="7" t="s">
        <v>379</v>
      </c>
      <c r="E11" s="207" t="s">
        <v>380</v>
      </c>
    </row>
    <row r="12" spans="2:5" s="7" customFormat="1" x14ac:dyDescent="0.3">
      <c r="B12" s="200">
        <f>SUM('2. Prognose RR'!85:85)</f>
        <v>0</v>
      </c>
      <c r="D12" s="7" t="s">
        <v>379</v>
      </c>
      <c r="E12" s="207" t="s">
        <v>381</v>
      </c>
    </row>
    <row r="13" spans="2:5" s="7" customFormat="1" x14ac:dyDescent="0.3">
      <c r="B13" s="200">
        <f>SUM('2. Prognose RR'!89:89)</f>
        <v>0</v>
      </c>
      <c r="D13" s="7" t="s">
        <v>379</v>
      </c>
      <c r="E13" s="207" t="s">
        <v>382</v>
      </c>
    </row>
    <row r="14" spans="2:5" s="7" customFormat="1" x14ac:dyDescent="0.3">
      <c r="B14" s="204"/>
      <c r="E14" s="207"/>
    </row>
    <row r="15" spans="2:5" s="7" customFormat="1" x14ac:dyDescent="0.3">
      <c r="B15" s="200">
        <f>SUM('3. Prognose BS'!138:138)</f>
        <v>0</v>
      </c>
      <c r="D15" s="7" t="s">
        <v>383</v>
      </c>
      <c r="E15" s="207" t="s">
        <v>384</v>
      </c>
    </row>
    <row r="16" spans="2:5" s="7" customFormat="1" x14ac:dyDescent="0.3">
      <c r="B16" s="200">
        <f>SUM('3. Prognose BS'!142:142)</f>
        <v>0</v>
      </c>
      <c r="D16" s="7" t="s">
        <v>383</v>
      </c>
      <c r="E16" s="207" t="s">
        <v>385</v>
      </c>
    </row>
    <row r="17" spans="2:5" s="7" customFormat="1" x14ac:dyDescent="0.3">
      <c r="B17" s="204"/>
      <c r="E17" s="207"/>
    </row>
    <row r="18" spans="2:5" s="7" customFormat="1" x14ac:dyDescent="0.3">
      <c r="B18" s="200">
        <f>SUM('3. Prognose BS'!130:130)</f>
        <v>0</v>
      </c>
      <c r="D18" s="7" t="s">
        <v>383</v>
      </c>
      <c r="E18" s="207" t="s">
        <v>386</v>
      </c>
    </row>
    <row r="19" spans="2:5" s="7" customFormat="1" x14ac:dyDescent="0.3">
      <c r="B19" s="200">
        <f>SUM('3. Prognose BS'!134:134)</f>
        <v>0</v>
      </c>
      <c r="D19" s="7" t="s">
        <v>383</v>
      </c>
      <c r="E19" s="207" t="s">
        <v>387</v>
      </c>
    </row>
    <row r="20" spans="2:5" s="7" customFormat="1" x14ac:dyDescent="0.3">
      <c r="B20" s="204"/>
      <c r="E20" s="207"/>
    </row>
    <row r="21" spans="2:5" s="7" customFormat="1" x14ac:dyDescent="0.3">
      <c r="B21" s="200">
        <f>SUM(Balans!33:33)</f>
        <v>0</v>
      </c>
      <c r="D21" s="7" t="s">
        <v>8</v>
      </c>
      <c r="E21" s="207" t="s">
        <v>388</v>
      </c>
    </row>
    <row r="22" spans="2:5" s="7" customFormat="1" x14ac:dyDescent="0.3">
      <c r="B22" s="204"/>
      <c r="E22" s="207"/>
    </row>
    <row r="23" spans="2:5" s="7" customFormat="1" x14ac:dyDescent="0.3">
      <c r="B23" s="200">
        <f>SUM(Kasstroomoverzicht!44:44)</f>
        <v>0</v>
      </c>
      <c r="D23" s="7" t="s">
        <v>92</v>
      </c>
      <c r="E23" s="207" t="s">
        <v>389</v>
      </c>
    </row>
    <row r="24" spans="2:5" s="7" customFormat="1" x14ac:dyDescent="0.3">
      <c r="B24" s="204"/>
    </row>
    <row r="25" spans="2:5" s="7" customFormat="1" x14ac:dyDescent="0.3">
      <c r="B25" s="204"/>
    </row>
    <row r="26" spans="2:5" s="7" customFormat="1" x14ac:dyDescent="0.3">
      <c r="B26" s="204"/>
    </row>
    <row r="27" spans="2:5" s="7" customFormat="1" x14ac:dyDescent="0.3">
      <c r="B27" s="204"/>
    </row>
    <row r="28" spans="2:5" s="7" customFormat="1" x14ac:dyDescent="0.3">
      <c r="B28" s="204"/>
    </row>
    <row r="29" spans="2:5" s="7" customFormat="1" x14ac:dyDescent="0.3">
      <c r="B29" s="204"/>
    </row>
    <row r="30" spans="2:5" s="7" customFormat="1" x14ac:dyDescent="0.3">
      <c r="B30" s="204"/>
    </row>
    <row r="31" spans="2:5" s="7" customFormat="1" x14ac:dyDescent="0.3">
      <c r="B31" s="204"/>
    </row>
  </sheetData>
  <conditionalFormatting sqref="B5">
    <cfRule type="cellIs" dxfId="35" priority="1" operator="notEqual">
      <formula>0</formula>
    </cfRule>
    <cfRule type="cellIs" dxfId="34" priority="2" operator="equal">
      <formula>0</formula>
    </cfRule>
  </conditionalFormatting>
  <conditionalFormatting sqref="B8:B9">
    <cfRule type="cellIs" dxfId="33" priority="13" operator="notEqual">
      <formula>0</formula>
    </cfRule>
    <cfRule type="cellIs" dxfId="32" priority="14" operator="equal">
      <formula>0</formula>
    </cfRule>
  </conditionalFormatting>
  <conditionalFormatting sqref="B11:B13">
    <cfRule type="cellIs" dxfId="31" priority="11" operator="notEqual">
      <formula>0</formula>
    </cfRule>
    <cfRule type="cellIs" dxfId="30" priority="12" operator="equal">
      <formula>0</formula>
    </cfRule>
  </conditionalFormatting>
  <conditionalFormatting sqref="B15:B16">
    <cfRule type="cellIs" dxfId="29" priority="9" operator="notEqual">
      <formula>0</formula>
    </cfRule>
    <cfRule type="cellIs" dxfId="28" priority="10" operator="equal">
      <formula>0</formula>
    </cfRule>
  </conditionalFormatting>
  <conditionalFormatting sqref="B18:B19">
    <cfRule type="cellIs" dxfId="27" priority="7" operator="notEqual">
      <formula>0</formula>
    </cfRule>
    <cfRule type="cellIs" dxfId="26" priority="8" operator="equal">
      <formula>0</formula>
    </cfRule>
  </conditionalFormatting>
  <conditionalFormatting sqref="B21">
    <cfRule type="cellIs" dxfId="25" priority="5" operator="notEqual">
      <formula>0</formula>
    </cfRule>
    <cfRule type="cellIs" dxfId="24" priority="6" operator="equal">
      <formula>0</formula>
    </cfRule>
  </conditionalFormatting>
  <conditionalFormatting sqref="B23">
    <cfRule type="cellIs" dxfId="23" priority="3" operator="notEqual">
      <formula>0</formula>
    </cfRule>
    <cfRule type="cellIs" dxfId="22" priority="4" operator="equal">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00B98-0A13-42D8-B053-E2B33BCC815A}">
  <sheetPr>
    <pageSetUpPr fitToPage="1"/>
  </sheetPr>
  <dimension ref="B1:AO40"/>
  <sheetViews>
    <sheetView showGridLines="0" tabSelected="1" zoomScale="90" zoomScaleNormal="90" workbookViewId="0"/>
  </sheetViews>
  <sheetFormatPr defaultRowHeight="14.4" x14ac:dyDescent="0.3"/>
  <cols>
    <col min="1" max="1" width="2.21875" customWidth="1"/>
    <col min="2" max="2" width="2.77734375" customWidth="1"/>
    <col min="3" max="3" width="2.88671875" customWidth="1"/>
    <col min="8" max="8" width="8.88671875" customWidth="1"/>
    <col min="9" max="9" width="1.88671875" customWidth="1"/>
    <col min="14" max="14" width="8.88671875" customWidth="1"/>
    <col min="15" max="15" width="1.77734375" customWidth="1"/>
  </cols>
  <sheetData>
    <row r="1" spans="2:41" ht="7.8" customHeight="1" x14ac:dyDescent="0.3"/>
    <row r="2" spans="2:41" ht="15.6" x14ac:dyDescent="0.3">
      <c r="B2" s="23" t="s">
        <v>140</v>
      </c>
      <c r="C2" s="24"/>
      <c r="D2" s="24"/>
      <c r="E2" s="24"/>
      <c r="F2" s="24"/>
      <c r="G2" s="24"/>
      <c r="H2" s="24"/>
      <c r="I2" s="24"/>
      <c r="J2" s="24"/>
      <c r="K2" s="24"/>
      <c r="L2" s="24"/>
      <c r="M2" s="24"/>
      <c r="N2" s="24"/>
      <c r="O2" s="24"/>
      <c r="P2" s="24"/>
      <c r="Q2" s="24"/>
      <c r="R2" s="24"/>
      <c r="S2" s="24"/>
      <c r="T2" s="25" t="s">
        <v>33</v>
      </c>
      <c r="U2" s="26"/>
      <c r="V2" s="26"/>
      <c r="W2" s="26" t="s">
        <v>375</v>
      </c>
      <c r="X2" s="26"/>
      <c r="Y2" s="200">
        <f>ErrorChecks!$B$5</f>
        <v>0</v>
      </c>
      <c r="AB2" s="3" t="s">
        <v>266</v>
      </c>
      <c r="AF2" s="18" t="s">
        <v>144</v>
      </c>
      <c r="AG2" s="19"/>
      <c r="AH2" s="18"/>
      <c r="AI2" s="19"/>
      <c r="AJ2" s="19"/>
      <c r="AK2" s="19"/>
      <c r="AL2" s="19"/>
      <c r="AM2" s="19"/>
      <c r="AN2" s="19"/>
      <c r="AO2" s="19"/>
    </row>
    <row r="3" spans="2:41" x14ac:dyDescent="0.3">
      <c r="B3" s="28" t="s">
        <v>150</v>
      </c>
      <c r="AF3" s="18"/>
      <c r="AG3" s="19"/>
      <c r="AH3" s="18"/>
      <c r="AI3" s="19" t="str">
        <f>"R "&amp;RIGHT(RR!E5,2)</f>
        <v>R 24</v>
      </c>
      <c r="AJ3" s="19" t="str">
        <f>"R "&amp;VALUE(RIGHT(AI3,2))+1</f>
        <v>R 25</v>
      </c>
      <c r="AK3" s="19" t="str">
        <f>"P "&amp;VALUE(RIGHT(AJ3,2))+1</f>
        <v>P 26</v>
      </c>
      <c r="AL3" s="19" t="str">
        <f t="shared" ref="AL3:AO3" si="0">"P "&amp;VALUE(RIGHT(AK3,2))+1</f>
        <v>P 27</v>
      </c>
      <c r="AM3" s="19" t="str">
        <f t="shared" si="0"/>
        <v>P 28</v>
      </c>
      <c r="AN3" s="19" t="str">
        <f t="shared" si="0"/>
        <v>P 29</v>
      </c>
      <c r="AO3" s="19" t="str">
        <f t="shared" si="0"/>
        <v>P 30</v>
      </c>
    </row>
    <row r="4" spans="2:41" ht="14.4" customHeight="1" x14ac:dyDescent="0.3">
      <c r="B4" s="130" t="s">
        <v>141</v>
      </c>
    </row>
    <row r="5" spans="2:41" x14ac:dyDescent="0.3">
      <c r="B5" s="130"/>
      <c r="AF5" t="s">
        <v>210</v>
      </c>
      <c r="AI5" s="1">
        <f>Ratios!E9</f>
        <v>1200</v>
      </c>
      <c r="AJ5" s="1">
        <f>Ratios!F9</f>
        <v>1200</v>
      </c>
      <c r="AK5" s="1">
        <f>Ratios!G9</f>
        <v>1200</v>
      </c>
      <c r="AL5" s="1">
        <f>Ratios!H9</f>
        <v>1300</v>
      </c>
      <c r="AM5" s="1">
        <f>Ratios!I9</f>
        <v>1400</v>
      </c>
      <c r="AN5" s="1">
        <f>Ratios!J9</f>
        <v>1500</v>
      </c>
      <c r="AO5" s="1">
        <f>Ratios!K9</f>
        <v>1500</v>
      </c>
    </row>
    <row r="6" spans="2:41" x14ac:dyDescent="0.3">
      <c r="B6" s="130"/>
      <c r="AF6" t="s">
        <v>211</v>
      </c>
      <c r="AI6" s="140">
        <f>Ratios!E10</f>
        <v>416.66666666666669</v>
      </c>
      <c r="AJ6" s="140">
        <f>Ratios!F10</f>
        <v>437.5</v>
      </c>
      <c r="AK6" s="140">
        <f>Ratios!G10</f>
        <v>446.25</v>
      </c>
      <c r="AL6" s="140">
        <f>Ratios!H10</f>
        <v>455.17500000000001</v>
      </c>
      <c r="AM6" s="140">
        <f>Ratios!I10</f>
        <v>464.27850000000001</v>
      </c>
      <c r="AN6" s="140">
        <f>Ratios!J10</f>
        <v>473.56407000000002</v>
      </c>
      <c r="AO6" s="140">
        <f>Ratios!K10</f>
        <v>483.03535140000002</v>
      </c>
    </row>
    <row r="7" spans="2:41" x14ac:dyDescent="0.3">
      <c r="B7" s="130"/>
    </row>
    <row r="8" spans="2:41" x14ac:dyDescent="0.3">
      <c r="B8" s="130"/>
      <c r="AF8" t="s">
        <v>212</v>
      </c>
      <c r="AI8" s="140">
        <f>RR!E7</f>
        <v>500</v>
      </c>
      <c r="AJ8" s="140">
        <f>RR!F7</f>
        <v>525</v>
      </c>
      <c r="AK8" s="140">
        <f>RR!G7</f>
        <v>535.5</v>
      </c>
      <c r="AL8" s="140">
        <f>RR!H7</f>
        <v>591.72749999999996</v>
      </c>
      <c r="AM8" s="140">
        <f>RR!I7</f>
        <v>649.98990000000003</v>
      </c>
      <c r="AN8" s="140">
        <f>RR!J7</f>
        <v>710.34610499999997</v>
      </c>
      <c r="AO8" s="140">
        <f>RR!K7</f>
        <v>724.55302710000001</v>
      </c>
    </row>
    <row r="9" spans="2:41" x14ac:dyDescent="0.3">
      <c r="B9" s="130"/>
      <c r="AF9" t="s">
        <v>145</v>
      </c>
      <c r="AI9" s="140">
        <f>RR!E8</f>
        <v>50</v>
      </c>
      <c r="AJ9" s="140">
        <f>RR!F8</f>
        <v>55</v>
      </c>
      <c r="AK9" s="140">
        <f>RR!G8</f>
        <v>86.1</v>
      </c>
      <c r="AL9" s="140">
        <f>RR!H8</f>
        <v>57.222000000000001</v>
      </c>
      <c r="AM9" s="140">
        <f>RR!I8</f>
        <v>58.366440000000004</v>
      </c>
      <c r="AN9" s="140">
        <f>RR!J8</f>
        <v>59.533768800000004</v>
      </c>
      <c r="AO9" s="140">
        <f>RR!K8</f>
        <v>60.724444176000006</v>
      </c>
    </row>
    <row r="10" spans="2:41" x14ac:dyDescent="0.3">
      <c r="B10" s="130"/>
      <c r="AI10" s="1"/>
      <c r="AJ10" s="1"/>
      <c r="AK10" s="1"/>
      <c r="AL10" s="1"/>
      <c r="AM10" s="1"/>
      <c r="AN10" s="1"/>
      <c r="AO10" s="1"/>
    </row>
    <row r="11" spans="2:41" x14ac:dyDescent="0.3">
      <c r="B11" s="130"/>
      <c r="AF11" t="s">
        <v>3</v>
      </c>
      <c r="AI11" s="140">
        <f>-RR!E11</f>
        <v>300</v>
      </c>
      <c r="AJ11" s="140">
        <f>-RR!F11</f>
        <v>315</v>
      </c>
      <c r="AK11" s="140">
        <f>-RR!G11</f>
        <v>371.08</v>
      </c>
      <c r="AL11" s="140">
        <f>-RR!H11</f>
        <v>375.30160000000001</v>
      </c>
      <c r="AM11" s="140">
        <f>-RR!I11</f>
        <v>382.66763200000003</v>
      </c>
      <c r="AN11" s="140">
        <f>-RR!J11</f>
        <v>390.18098464000002</v>
      </c>
      <c r="AO11" s="140">
        <f>-RR!K11</f>
        <v>462.98537172160002</v>
      </c>
    </row>
    <row r="12" spans="2:41" x14ac:dyDescent="0.3">
      <c r="B12" s="130"/>
      <c r="AF12" t="s">
        <v>244</v>
      </c>
      <c r="AI12" s="21">
        <f>-Ratios!E15</f>
        <v>0.54545454545454541</v>
      </c>
      <c r="AJ12" s="21">
        <f>-Ratios!F15</f>
        <v>0.5431034482758621</v>
      </c>
      <c r="AK12" s="21">
        <f>-Ratios!G15</f>
        <v>0.59697554697554689</v>
      </c>
      <c r="AL12" s="21">
        <f>-Ratios!H15</f>
        <v>0.57832173381750052</v>
      </c>
      <c r="AM12" s="21">
        <f>-Ratios!I15</f>
        <v>0.54021911062446337</v>
      </c>
      <c r="AN12" s="21">
        <f>-Ratios!J15</f>
        <v>0.50680761754964587</v>
      </c>
      <c r="AO12" s="21">
        <f>-Ratios!K15</f>
        <v>0.58958188494735941</v>
      </c>
    </row>
    <row r="13" spans="2:41" x14ac:dyDescent="0.3">
      <c r="AF13" t="s">
        <v>142</v>
      </c>
      <c r="AI13" s="140">
        <f>RR!E26</f>
        <v>63</v>
      </c>
      <c r="AJ13" s="140">
        <f>RR!F26</f>
        <v>53</v>
      </c>
      <c r="AK13" s="140">
        <f>RR!G26</f>
        <v>37.350904275000033</v>
      </c>
      <c r="AL13" s="140">
        <f>RR!H26</f>
        <v>41.888643750000043</v>
      </c>
      <c r="AM13" s="140">
        <f>RR!I26</f>
        <v>27.512259750000002</v>
      </c>
      <c r="AN13" s="140">
        <f>RR!J26</f>
        <v>66.612569932499895</v>
      </c>
      <c r="AO13" s="140">
        <f>RR!K26</f>
        <v>30.807995789549921</v>
      </c>
    </row>
    <row r="14" spans="2:41" x14ac:dyDescent="0.3">
      <c r="B14" s="130" t="s">
        <v>142</v>
      </c>
      <c r="AF14" t="s">
        <v>66</v>
      </c>
      <c r="AI14" s="21">
        <f>Ratios!E21</f>
        <v>0.11454545454545455</v>
      </c>
      <c r="AJ14" s="21">
        <f>Ratios!F21</f>
        <v>9.1379310344827588E-2</v>
      </c>
      <c r="AK14" s="21">
        <f>Ratios!G21</f>
        <v>6.008832734073364E-2</v>
      </c>
      <c r="AL14" s="21">
        <f>Ratios!H21</f>
        <v>6.4548387432304122E-2</v>
      </c>
      <c r="AM14" s="21">
        <f>Ratios!I21</f>
        <v>3.8839575784696163E-2</v>
      </c>
      <c r="AN14" s="21">
        <f>Ratios!J21</f>
        <v>8.6523329417239142E-2</v>
      </c>
      <c r="AO14" s="21">
        <f>Ratios!K21</f>
        <v>3.9231987312064238E-2</v>
      </c>
    </row>
    <row r="15" spans="2:41" x14ac:dyDescent="0.3">
      <c r="B15" s="130"/>
      <c r="AF15" t="s">
        <v>123</v>
      </c>
      <c r="AI15" s="22"/>
      <c r="AJ15" s="22">
        <f>Ratios!F22</f>
        <v>0.43801652892561982</v>
      </c>
      <c r="AK15" s="22">
        <f>Ratios!G22</f>
        <v>0.23992802822894596</v>
      </c>
      <c r="AL15" s="22">
        <f>Ratios!H22</f>
        <v>0.22606434402195763</v>
      </c>
      <c r="AM15" s="22">
        <f>Ratios!I22</f>
        <v>0.13259196542522297</v>
      </c>
      <c r="AN15" s="22">
        <f>Ratios!J22</f>
        <v>0.28099681880596178</v>
      </c>
      <c r="AO15" s="22">
        <f>Ratios!K22</f>
        <v>0.11592047292960997</v>
      </c>
    </row>
    <row r="16" spans="2:41" x14ac:dyDescent="0.3">
      <c r="B16" s="130"/>
    </row>
    <row r="17" spans="2:41" x14ac:dyDescent="0.3">
      <c r="B17" s="130"/>
      <c r="AF17" t="s">
        <v>126</v>
      </c>
      <c r="AI17" s="21"/>
      <c r="AJ17" s="21">
        <f>Ratios!F32</f>
        <v>0.39672131147540984</v>
      </c>
      <c r="AK17" s="21">
        <f>Ratios!G32</f>
        <v>0.5335188550338601</v>
      </c>
      <c r="AL17" s="21">
        <f>Ratios!H32</f>
        <v>0.5150958359577319</v>
      </c>
      <c r="AM17" s="21">
        <f>Ratios!I32</f>
        <v>0.50996608653379938</v>
      </c>
      <c r="AN17" s="21">
        <f>Ratios!J32</f>
        <v>0.61737531199682927</v>
      </c>
      <c r="AO17" s="21">
        <f>Ratios!K32</f>
        <v>0.70508260558932923</v>
      </c>
    </row>
    <row r="18" spans="2:41" x14ac:dyDescent="0.3">
      <c r="B18" s="130"/>
      <c r="AF18" t="s">
        <v>147</v>
      </c>
      <c r="AI18" s="21"/>
      <c r="AJ18" s="21">
        <f>1-AJ17</f>
        <v>0.60327868852459021</v>
      </c>
      <c r="AK18" s="21">
        <f t="shared" ref="AK18:AO18" si="1">1-AK17</f>
        <v>0.4664811449661399</v>
      </c>
      <c r="AL18" s="21">
        <f t="shared" si="1"/>
        <v>0.4849041640422681</v>
      </c>
      <c r="AM18" s="21">
        <f t="shared" si="1"/>
        <v>0.49003391346620062</v>
      </c>
      <c r="AN18" s="21">
        <f t="shared" si="1"/>
        <v>0.38262468800317073</v>
      </c>
      <c r="AO18" s="21">
        <f t="shared" si="1"/>
        <v>0.29491739441067077</v>
      </c>
    </row>
    <row r="19" spans="2:41" x14ac:dyDescent="0.3">
      <c r="B19" s="130"/>
    </row>
    <row r="20" spans="2:41" x14ac:dyDescent="0.3">
      <c r="B20" s="130"/>
      <c r="AF20" t="s">
        <v>143</v>
      </c>
      <c r="AI20" s="140"/>
      <c r="AJ20" s="140">
        <f>Kasstroomoverzicht!F37</f>
        <v>-25</v>
      </c>
      <c r="AK20" s="140">
        <f>Kasstroomoverzicht!G37</f>
        <v>-9.0128219729451757</v>
      </c>
      <c r="AL20" s="140">
        <f>Kasstroomoverzicht!H37</f>
        <v>131.26219792808223</v>
      </c>
      <c r="AM20" s="140">
        <f>Kasstroomoverzicht!I37</f>
        <v>-169.25153689657535</v>
      </c>
      <c r="AN20" s="140">
        <f>Kasstroomoverzicht!J37</f>
        <v>-2.2926209933905142</v>
      </c>
      <c r="AO20" s="140">
        <f>Kasstroomoverzicht!K37</f>
        <v>-19.803263289296652</v>
      </c>
    </row>
    <row r="21" spans="2:41" x14ac:dyDescent="0.3">
      <c r="B21" s="130"/>
      <c r="AF21" t="s">
        <v>146</v>
      </c>
      <c r="AI21" s="140">
        <f>Balans!E13</f>
        <v>104</v>
      </c>
      <c r="AJ21" s="140">
        <f>Balans!F13</f>
        <v>79</v>
      </c>
      <c r="AK21" s="140">
        <f>Balans!G13</f>
        <v>69.987178027054881</v>
      </c>
      <c r="AL21" s="140">
        <f>Balans!H13</f>
        <v>201.249375955137</v>
      </c>
      <c r="AM21" s="140">
        <f>Balans!I13</f>
        <v>31.997839058561681</v>
      </c>
      <c r="AN21" s="140">
        <f>Balans!J13</f>
        <v>29.705218065171096</v>
      </c>
      <c r="AO21" s="140">
        <f>Balans!K13</f>
        <v>9.9019547758746285</v>
      </c>
    </row>
    <row r="22" spans="2:41" x14ac:dyDescent="0.3">
      <c r="B22" s="130"/>
      <c r="AF22" t="s">
        <v>116</v>
      </c>
      <c r="AI22" s="27">
        <f>Ratios!E27</f>
        <v>2.3095238095238093</v>
      </c>
      <c r="AJ22" s="27">
        <f>Ratios!F27</f>
        <v>1.8571428571428572</v>
      </c>
      <c r="AK22" s="27">
        <f>Ratios!G27</f>
        <v>2.1893498033215564</v>
      </c>
      <c r="AL22" s="27">
        <f>Ratios!H27</f>
        <v>2.0268188549114146</v>
      </c>
      <c r="AM22" s="27">
        <f>Ratios!I27</f>
        <v>1.0372520516779995</v>
      </c>
      <c r="AN22" s="27">
        <f>Ratios!J27</f>
        <v>1.399807784662622</v>
      </c>
      <c r="AO22" s="27">
        <f>Ratios!K27</f>
        <v>1.3163594782882986</v>
      </c>
    </row>
    <row r="23" spans="2:41" x14ac:dyDescent="0.3">
      <c r="AF23" t="s">
        <v>148</v>
      </c>
      <c r="AI23" s="27">
        <f>Ratios!E25</f>
        <v>17</v>
      </c>
      <c r="AJ23" s="27">
        <f>Ratios!F25</f>
        <v>14.833333333333334</v>
      </c>
      <c r="AK23" s="27">
        <f>Ratios!G25</f>
        <v>23.271381578947384</v>
      </c>
      <c r="AL23" s="27">
        <f>Ratios!H25</f>
        <v>7.3789368932038863</v>
      </c>
      <c r="AM23" s="27">
        <f>Ratios!I25</f>
        <v>13.28189928853755</v>
      </c>
      <c r="AN23" s="27">
        <f>Ratios!J25</f>
        <v>43.272253303333287</v>
      </c>
      <c r="AO23" s="27">
        <f>Ratios!K25</f>
        <v>58.510783795927225</v>
      </c>
    </row>
    <row r="24" spans="2:41" x14ac:dyDescent="0.3">
      <c r="B24" s="130" t="s">
        <v>213</v>
      </c>
      <c r="AF24" t="s">
        <v>149</v>
      </c>
      <c r="AJ24" s="27">
        <f>Ratios!F26</f>
        <v>5.5625</v>
      </c>
      <c r="AK24" s="27">
        <f>Ratios!G26</f>
        <v>5.4252300613496969</v>
      </c>
      <c r="AL24" s="27">
        <f>Ratios!H26</f>
        <v>1.5109950298210741</v>
      </c>
      <c r="AM24" s="27">
        <f>Ratios!I26</f>
        <v>1.8134487425796006</v>
      </c>
      <c r="AN24" s="27">
        <f>Ratios!J26</f>
        <v>3.9338412093939352</v>
      </c>
      <c r="AO24" s="27">
        <f>Ratios!K26</f>
        <v>2.5642176165545796</v>
      </c>
    </row>
    <row r="25" spans="2:41" x14ac:dyDescent="0.3">
      <c r="B25" s="130"/>
    </row>
    <row r="26" spans="2:41" x14ac:dyDescent="0.3">
      <c r="B26" s="130"/>
    </row>
    <row r="27" spans="2:41" x14ac:dyDescent="0.3">
      <c r="B27" s="130"/>
    </row>
    <row r="28" spans="2:41" x14ac:dyDescent="0.3">
      <c r="B28" s="130"/>
    </row>
    <row r="29" spans="2:41" x14ac:dyDescent="0.3">
      <c r="B29" s="130"/>
    </row>
    <row r="30" spans="2:41" x14ac:dyDescent="0.3">
      <c r="B30" s="130"/>
    </row>
    <row r="31" spans="2:41" x14ac:dyDescent="0.3">
      <c r="B31" s="130"/>
    </row>
    <row r="32" spans="2:41" x14ac:dyDescent="0.3">
      <c r="B32" s="130"/>
    </row>
    <row r="39" spans="25:25" x14ac:dyDescent="0.3">
      <c r="Y39" s="81"/>
    </row>
    <row r="40" spans="25:25" x14ac:dyDescent="0.3">
      <c r="Y40" s="81"/>
    </row>
  </sheetData>
  <mergeCells count="3">
    <mergeCell ref="B4:B12"/>
    <mergeCell ref="B14:B22"/>
    <mergeCell ref="B24:B32"/>
  </mergeCells>
  <conditionalFormatting sqref="Y2">
    <cfRule type="cellIs" dxfId="56" priority="1" operator="notEqual">
      <formula>0</formula>
    </cfRule>
    <cfRule type="cellIs" dxfId="55" priority="2" operator="equal">
      <formula>0</formula>
    </cfRule>
  </conditionalFormatting>
  <pageMargins left="0.7" right="0.7" top="0.75" bottom="0.75" header="0.3" footer="0.3"/>
  <pageSetup paperSize="9" scale="91"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34"/>
  <sheetViews>
    <sheetView showGridLines="0" zoomScale="90" zoomScaleNormal="90" workbookViewId="0">
      <pane ySplit="5" topLeftCell="A6" activePane="bottomLeft" state="frozen"/>
      <selection activeCell="A6" sqref="A6"/>
      <selection pane="bottomLeft" activeCell="A6" sqref="A6"/>
    </sheetView>
  </sheetViews>
  <sheetFormatPr defaultRowHeight="14.4" x14ac:dyDescent="0.3"/>
  <cols>
    <col min="1" max="1" width="2.21875" customWidth="1"/>
    <col min="2" max="2" width="25.44140625" customWidth="1"/>
    <col min="3" max="4" width="3.5546875" customWidth="1"/>
    <col min="12" max="15" width="9.109375" style="4"/>
  </cols>
  <sheetData>
    <row r="1" spans="2:15" x14ac:dyDescent="0.3">
      <c r="K1" s="33" t="s">
        <v>33</v>
      </c>
    </row>
    <row r="2" spans="2:15" ht="15.6" x14ac:dyDescent="0.3">
      <c r="B2" s="32" t="s">
        <v>36</v>
      </c>
      <c r="C2" s="39"/>
      <c r="D2" s="39"/>
      <c r="E2" s="40"/>
      <c r="F2" s="16"/>
      <c r="G2" s="16"/>
      <c r="H2" s="16"/>
      <c r="I2" s="16"/>
      <c r="J2" s="16"/>
      <c r="M2" s="26" t="s">
        <v>375</v>
      </c>
      <c r="N2" s="26"/>
      <c r="O2" s="200">
        <f>ErrorChecks!$B$5</f>
        <v>0</v>
      </c>
    </row>
    <row r="3" spans="2:15" x14ac:dyDescent="0.3">
      <c r="B3" s="16"/>
      <c r="C3" s="16"/>
      <c r="D3" s="16"/>
      <c r="E3" s="14"/>
      <c r="F3" s="14"/>
      <c r="G3" s="14"/>
      <c r="H3" s="14"/>
      <c r="I3" s="14"/>
      <c r="J3" s="14"/>
      <c r="K3" s="41"/>
    </row>
    <row r="4" spans="2:15" x14ac:dyDescent="0.3">
      <c r="B4" s="11" t="s">
        <v>19</v>
      </c>
      <c r="C4" s="3"/>
      <c r="D4" s="3"/>
    </row>
    <row r="5" spans="2:15" s="46" customFormat="1" ht="13.8" x14ac:dyDescent="0.3">
      <c r="B5" s="131"/>
      <c r="C5" s="132"/>
      <c r="D5" s="131"/>
      <c r="E5" s="143" t="str">
        <f>'1. Realisatie RR en BS'!E9</f>
        <v>R 2024</v>
      </c>
      <c r="F5" s="143" t="str">
        <f>'1. Realisatie RR en BS'!F9</f>
        <v>R 2025</v>
      </c>
      <c r="G5" s="143" t="str">
        <f>'1. Realisatie RR en BS'!G9</f>
        <v>P 2026</v>
      </c>
      <c r="H5" s="143" t="str">
        <f>'1. Realisatie RR en BS'!H9</f>
        <v>P 2027</v>
      </c>
      <c r="I5" s="143" t="str">
        <f>'1. Realisatie RR en BS'!I9</f>
        <v>P 2028</v>
      </c>
      <c r="J5" s="143" t="str">
        <f>'1. Realisatie RR en BS'!J9</f>
        <v>P 2029</v>
      </c>
      <c r="K5" s="144" t="str">
        <f>'1. Realisatie RR en BS'!K9</f>
        <v>P 2030</v>
      </c>
      <c r="L5" s="59"/>
      <c r="M5" s="59"/>
      <c r="N5" s="59"/>
      <c r="O5" s="59"/>
    </row>
    <row r="6" spans="2:15" s="44" customFormat="1" ht="13.8" x14ac:dyDescent="0.3">
      <c r="E6" s="135"/>
      <c r="F6" s="135"/>
      <c r="G6" s="135"/>
      <c r="H6" s="135"/>
      <c r="I6" s="135"/>
      <c r="J6" s="135"/>
      <c r="K6" s="135"/>
    </row>
    <row r="7" spans="2:15" s="44" customFormat="1" ht="13.8" x14ac:dyDescent="0.3">
      <c r="B7" s="44" t="s">
        <v>235</v>
      </c>
      <c r="E7" s="141">
        <f>'2. Prognose RR'!E11</f>
        <v>500</v>
      </c>
      <c r="F7" s="141">
        <f>'2. Prognose RR'!F11</f>
        <v>525</v>
      </c>
      <c r="G7" s="141">
        <f>'2. Prognose RR'!G11</f>
        <v>535.5</v>
      </c>
      <c r="H7" s="141">
        <f>'2. Prognose RR'!H11</f>
        <v>591.72749999999996</v>
      </c>
      <c r="I7" s="141">
        <f>'2. Prognose RR'!I11</f>
        <v>649.98990000000003</v>
      </c>
      <c r="J7" s="141">
        <f>'2. Prognose RR'!J11</f>
        <v>710.34610499999997</v>
      </c>
      <c r="K7" s="141">
        <f>'2. Prognose RR'!K11</f>
        <v>724.55302710000001</v>
      </c>
      <c r="L7" s="54"/>
      <c r="M7" s="54"/>
      <c r="N7" s="54"/>
      <c r="O7" s="54"/>
    </row>
    <row r="8" spans="2:15" s="44" customFormat="1" ht="13.8" x14ac:dyDescent="0.3">
      <c r="B8" s="44" t="s">
        <v>0</v>
      </c>
      <c r="E8" s="141">
        <f>'2. Prognose RR'!E17</f>
        <v>50</v>
      </c>
      <c r="F8" s="141">
        <f>'2. Prognose RR'!F17</f>
        <v>55</v>
      </c>
      <c r="G8" s="141">
        <f>'2. Prognose RR'!G17</f>
        <v>86.1</v>
      </c>
      <c r="H8" s="141">
        <f>'2. Prognose RR'!H17</f>
        <v>57.222000000000001</v>
      </c>
      <c r="I8" s="141">
        <f>'2. Prognose RR'!I17</f>
        <v>58.366440000000004</v>
      </c>
      <c r="J8" s="141">
        <f>'2. Prognose RR'!J17</f>
        <v>59.533768800000004</v>
      </c>
      <c r="K8" s="141">
        <f>'2. Prognose RR'!K17</f>
        <v>60.724444176000006</v>
      </c>
      <c r="L8" s="54"/>
      <c r="M8" s="54"/>
      <c r="N8" s="54"/>
      <c r="O8" s="54"/>
    </row>
    <row r="9" spans="2:15" s="46" customFormat="1" ht="13.8" x14ac:dyDescent="0.3">
      <c r="B9" s="46" t="s">
        <v>1</v>
      </c>
      <c r="E9" s="145">
        <f t="shared" ref="E9:K9" si="0">SUM(E7:E8)</f>
        <v>550</v>
      </c>
      <c r="F9" s="145">
        <f t="shared" si="0"/>
        <v>580</v>
      </c>
      <c r="G9" s="145">
        <f t="shared" si="0"/>
        <v>621.6</v>
      </c>
      <c r="H9" s="145">
        <f t="shared" si="0"/>
        <v>648.94949999999994</v>
      </c>
      <c r="I9" s="145">
        <f t="shared" si="0"/>
        <v>708.35634000000005</v>
      </c>
      <c r="J9" s="145">
        <f t="shared" si="0"/>
        <v>769.87987379999993</v>
      </c>
      <c r="K9" s="145">
        <f t="shared" si="0"/>
        <v>785.27747127600003</v>
      </c>
      <c r="L9" s="55"/>
      <c r="M9" s="55"/>
      <c r="N9" s="55"/>
      <c r="O9" s="55"/>
    </row>
    <row r="10" spans="2:15" s="44" customFormat="1" ht="8.4" customHeight="1" x14ac:dyDescent="0.3">
      <c r="E10" s="141"/>
      <c r="F10" s="141"/>
      <c r="G10" s="141"/>
      <c r="H10" s="141"/>
      <c r="I10" s="141"/>
      <c r="J10" s="141"/>
      <c r="K10" s="141"/>
      <c r="L10" s="54"/>
      <c r="M10" s="54"/>
      <c r="N10" s="54"/>
      <c r="O10" s="54"/>
    </row>
    <row r="11" spans="2:15" s="44" customFormat="1" ht="13.8" x14ac:dyDescent="0.3">
      <c r="B11" s="44" t="s">
        <v>3</v>
      </c>
      <c r="E11" s="141">
        <f>'2. Prognose RR'!E30</f>
        <v>-300</v>
      </c>
      <c r="F11" s="141">
        <f>'2. Prognose RR'!F30</f>
        <v>-315</v>
      </c>
      <c r="G11" s="141">
        <f>'2. Prognose RR'!G30</f>
        <v>-371.08</v>
      </c>
      <c r="H11" s="141">
        <f>'2. Prognose RR'!H30</f>
        <v>-375.30160000000001</v>
      </c>
      <c r="I11" s="141">
        <f>'2. Prognose RR'!I30</f>
        <v>-382.66763200000003</v>
      </c>
      <c r="J11" s="141">
        <f>'2. Prognose RR'!J30</f>
        <v>-390.18098464000002</v>
      </c>
      <c r="K11" s="141">
        <f>'2. Prognose RR'!K30</f>
        <v>-462.98537172160002</v>
      </c>
      <c r="L11" s="54"/>
      <c r="M11" s="54"/>
      <c r="N11" s="54"/>
      <c r="O11" s="54"/>
    </row>
    <row r="12" spans="2:15" s="44" customFormat="1" ht="13.8" x14ac:dyDescent="0.3">
      <c r="B12" s="44" t="s">
        <v>4</v>
      </c>
      <c r="E12" s="141">
        <f>'2. Prognose RR'!E34</f>
        <v>-10</v>
      </c>
      <c r="F12" s="141">
        <f>'2. Prognose RR'!F34</f>
        <v>-11</v>
      </c>
      <c r="G12" s="141">
        <f>'2. Prognose RR'!G34</f>
        <v>-19.903794300000001</v>
      </c>
      <c r="H12" s="141">
        <f>'2. Prognose RR'!H34</f>
        <v>-23</v>
      </c>
      <c r="I12" s="141">
        <f>'2. Prognose RR'!I34</f>
        <v>-37</v>
      </c>
      <c r="J12" s="141">
        <f>'2. Prognose RR'!J34</f>
        <v>-40</v>
      </c>
      <c r="K12" s="141">
        <f>'2. Prognose RR'!K34</f>
        <v>-40</v>
      </c>
      <c r="L12" s="54"/>
      <c r="M12" s="54"/>
      <c r="N12" s="54"/>
      <c r="O12" s="54"/>
    </row>
    <row r="13" spans="2:15" s="44" customFormat="1" ht="13.8" x14ac:dyDescent="0.3">
      <c r="B13" s="44" t="s">
        <v>349</v>
      </c>
      <c r="E13" s="141">
        <f>'2. Prognose RR'!E39</f>
        <v>-140</v>
      </c>
      <c r="F13" s="141">
        <f>'2. Prognose RR'!F39</f>
        <v>-150</v>
      </c>
      <c r="G13" s="141">
        <f>'2. Prognose RR'!G39</f>
        <v>-153</v>
      </c>
      <c r="H13" s="141">
        <f>'2. Prognose RR'!H39</f>
        <v>-181.06</v>
      </c>
      <c r="I13" s="141">
        <f>'2. Prognose RR'!I39</f>
        <v>-184.18119999999999</v>
      </c>
      <c r="J13" s="141">
        <f>'2. Prognose RR'!J39</f>
        <v>-188.364824</v>
      </c>
      <c r="K13" s="141">
        <f>'2. Prognose RR'!K39</f>
        <v>-185.61212047999999</v>
      </c>
      <c r="L13" s="54"/>
      <c r="M13" s="54"/>
      <c r="N13" s="54"/>
      <c r="O13" s="54"/>
    </row>
    <row r="14" spans="2:15" s="44" customFormat="1" ht="13.8" x14ac:dyDescent="0.3">
      <c r="B14" s="44" t="s">
        <v>351</v>
      </c>
      <c r="E14" s="141">
        <f>'2. Prognose RR'!E44</f>
        <v>-25</v>
      </c>
      <c r="F14" s="141">
        <f>'2. Prognose RR'!F44</f>
        <v>-26</v>
      </c>
      <c r="G14" s="141">
        <f>'2. Prognose RR'!G44</f>
        <v>-26.775000000000002</v>
      </c>
      <c r="H14" s="141">
        <f>'2. Prognose RR'!H44</f>
        <v>-54.586375000000004</v>
      </c>
      <c r="I14" s="141">
        <f>'2. Prognose RR'!I44</f>
        <v>-57.499495000000003</v>
      </c>
      <c r="J14" s="141">
        <f>'2. Prognose RR'!J44</f>
        <v>-61.51730525</v>
      </c>
      <c r="K14" s="141">
        <f>'2. Prognose RR'!K44</f>
        <v>-56.227651354999999</v>
      </c>
      <c r="L14" s="54"/>
      <c r="M14" s="54"/>
      <c r="N14" s="54"/>
      <c r="O14" s="54"/>
    </row>
    <row r="15" spans="2:15" s="46" customFormat="1" ht="13.8" x14ac:dyDescent="0.3">
      <c r="B15" s="46" t="s">
        <v>350</v>
      </c>
      <c r="E15" s="145">
        <f>SUM(E11:E14)</f>
        <v>-475</v>
      </c>
      <c r="F15" s="145">
        <f t="shared" ref="F15:K15" si="1">SUM(F11:F14)</f>
        <v>-502</v>
      </c>
      <c r="G15" s="145">
        <f t="shared" si="1"/>
        <v>-570.75879429999998</v>
      </c>
      <c r="H15" s="145">
        <f t="shared" si="1"/>
        <v>-633.94797499999993</v>
      </c>
      <c r="I15" s="145">
        <f t="shared" si="1"/>
        <v>-661.34832700000004</v>
      </c>
      <c r="J15" s="145">
        <f t="shared" si="1"/>
        <v>-680.06311389000007</v>
      </c>
      <c r="K15" s="145">
        <f t="shared" si="1"/>
        <v>-744.8251435566001</v>
      </c>
      <c r="L15" s="55"/>
      <c r="M15" s="55"/>
      <c r="N15" s="55"/>
      <c r="O15" s="55"/>
    </row>
    <row r="16" spans="2:15" s="44" customFormat="1" ht="7.8" customHeight="1" x14ac:dyDescent="0.3">
      <c r="E16" s="141"/>
      <c r="F16" s="141"/>
      <c r="G16" s="141"/>
      <c r="H16" s="141"/>
      <c r="I16" s="141"/>
      <c r="J16" s="141"/>
      <c r="K16" s="141"/>
      <c r="L16" s="54"/>
      <c r="M16" s="54"/>
      <c r="N16" s="54"/>
      <c r="O16" s="54"/>
    </row>
    <row r="17" spans="2:15" s="46" customFormat="1" ht="13.8" x14ac:dyDescent="0.3">
      <c r="B17" s="46" t="s">
        <v>353</v>
      </c>
      <c r="E17" s="145">
        <f>E9+E15</f>
        <v>75</v>
      </c>
      <c r="F17" s="145">
        <f t="shared" ref="F17:K17" si="2">F9+F15</f>
        <v>78</v>
      </c>
      <c r="G17" s="145">
        <f t="shared" si="2"/>
        <v>50.841205700000046</v>
      </c>
      <c r="H17" s="145">
        <f t="shared" si="2"/>
        <v>15.001525000000015</v>
      </c>
      <c r="I17" s="145">
        <f t="shared" si="2"/>
        <v>47.008013000000005</v>
      </c>
      <c r="J17" s="145">
        <f t="shared" si="2"/>
        <v>89.81675990999986</v>
      </c>
      <c r="K17" s="145">
        <f t="shared" si="2"/>
        <v>40.452327719399932</v>
      </c>
      <c r="L17" s="55"/>
      <c r="M17" s="55"/>
      <c r="N17" s="55"/>
      <c r="O17" s="55"/>
    </row>
    <row r="18" spans="2:15" s="44" customFormat="1" ht="8.4" customHeight="1" x14ac:dyDescent="0.3">
      <c r="E18" s="141"/>
      <c r="F18" s="141"/>
      <c r="G18" s="141"/>
      <c r="H18" s="141"/>
      <c r="I18" s="141"/>
      <c r="J18" s="141"/>
      <c r="K18" s="141"/>
      <c r="L18" s="54"/>
      <c r="M18" s="54"/>
      <c r="N18" s="54"/>
      <c r="O18" s="54"/>
    </row>
    <row r="19" spans="2:15" s="44" customFormat="1" ht="14.4" customHeight="1" x14ac:dyDescent="0.3">
      <c r="B19" s="44" t="s">
        <v>160</v>
      </c>
      <c r="E19" s="141">
        <f>'2. Prognose RR'!E53</f>
        <v>0</v>
      </c>
      <c r="F19" s="141">
        <f>'2. Prognose RR'!F53</f>
        <v>-10</v>
      </c>
      <c r="G19" s="141">
        <f>'2. Prognose RR'!G53</f>
        <v>0</v>
      </c>
      <c r="H19" s="141">
        <f>'2. Prognose RR'!H53</f>
        <v>40</v>
      </c>
      <c r="I19" s="141">
        <f>'2. Prognose RR'!I53</f>
        <v>0</v>
      </c>
      <c r="J19" s="141">
        <f>'2. Prognose RR'!J53</f>
        <v>0</v>
      </c>
      <c r="K19" s="141">
        <f>'2. Prognose RR'!K53</f>
        <v>0</v>
      </c>
      <c r="L19" s="54"/>
      <c r="M19" s="54"/>
      <c r="N19" s="54"/>
      <c r="O19" s="54"/>
    </row>
    <row r="20" spans="2:15" s="44" customFormat="1" ht="13.8" x14ac:dyDescent="0.3">
      <c r="B20" s="44" t="s">
        <v>45</v>
      </c>
      <c r="E20" s="141">
        <f>'2. Prognose RR'!E55</f>
        <v>0</v>
      </c>
      <c r="F20" s="141">
        <f>'2. Prognose RR'!F55</f>
        <v>14</v>
      </c>
      <c r="G20" s="141">
        <f>'2. Prognose RR'!G55</f>
        <v>0</v>
      </c>
      <c r="H20" s="141">
        <f>'2. Prognose RR'!H55</f>
        <v>4</v>
      </c>
      <c r="I20" s="141">
        <f>'2. Prognose RR'!I55</f>
        <v>-6</v>
      </c>
      <c r="J20" s="141">
        <f>'2. Prognose RR'!J55</f>
        <v>0</v>
      </c>
      <c r="K20" s="141">
        <f>'2. Prognose RR'!K55</f>
        <v>0</v>
      </c>
      <c r="L20" s="54"/>
      <c r="M20" s="54"/>
      <c r="N20" s="54"/>
      <c r="O20" s="54"/>
    </row>
    <row r="21" spans="2:15" s="44" customFormat="1" ht="13.8" x14ac:dyDescent="0.3">
      <c r="B21" s="44" t="s">
        <v>54</v>
      </c>
      <c r="E21" s="141">
        <f>'2. Prognose RR'!E57</f>
        <v>1</v>
      </c>
      <c r="F21" s="141">
        <f>'2. Prognose RR'!F57</f>
        <v>2</v>
      </c>
      <c r="G21" s="141">
        <f>'2. Prognose RR'!G57</f>
        <v>2</v>
      </c>
      <c r="H21" s="141">
        <f>'2. Prognose RR'!H57</f>
        <v>2</v>
      </c>
      <c r="I21" s="141">
        <f>'2. Prognose RR'!I57</f>
        <v>2</v>
      </c>
      <c r="J21" s="141">
        <f>'2. Prognose RR'!J57</f>
        <v>2</v>
      </c>
      <c r="K21" s="141">
        <f>'2. Prognose RR'!K57</f>
        <v>2</v>
      </c>
      <c r="L21" s="54"/>
      <c r="M21" s="54"/>
      <c r="N21" s="54"/>
      <c r="O21" s="54"/>
    </row>
    <row r="22" spans="2:15" s="44" customFormat="1" ht="13.8" x14ac:dyDescent="0.3">
      <c r="B22" s="44" t="s">
        <v>55</v>
      </c>
      <c r="E22" s="141">
        <f>'2. Prognose RR'!E61</f>
        <v>-5</v>
      </c>
      <c r="F22" s="141">
        <f>'2. Prognose RR'!F61</f>
        <v>-6</v>
      </c>
      <c r="G22" s="141">
        <f>'2. Prognose RR'!G61</f>
        <v>-3.04</v>
      </c>
      <c r="H22" s="141">
        <f>'2. Prognose RR'!H61</f>
        <v>-5.15</v>
      </c>
      <c r="I22" s="141">
        <f>'2. Prognose RR'!I61</f>
        <v>-6.3250000000000002</v>
      </c>
      <c r="J22" s="141">
        <f>'2. Prognose RR'!J61</f>
        <v>-3</v>
      </c>
      <c r="K22" s="141">
        <f>'2. Prognose RR'!K61</f>
        <v>-1.375</v>
      </c>
      <c r="L22" s="54"/>
      <c r="M22" s="54"/>
      <c r="N22" s="54"/>
      <c r="O22" s="54"/>
    </row>
    <row r="23" spans="2:15" s="46" customFormat="1" ht="13.8" x14ac:dyDescent="0.3">
      <c r="B23" s="46" t="s">
        <v>5</v>
      </c>
      <c r="E23" s="145">
        <f t="shared" ref="E23:K23" si="3">SUM(E17:E22)</f>
        <v>71</v>
      </c>
      <c r="F23" s="145">
        <f t="shared" si="3"/>
        <v>78</v>
      </c>
      <c r="G23" s="145">
        <f t="shared" si="3"/>
        <v>49.801205700000047</v>
      </c>
      <c r="H23" s="145">
        <f t="shared" si="3"/>
        <v>55.851525000000017</v>
      </c>
      <c r="I23" s="145">
        <f t="shared" si="3"/>
        <v>36.683013000000003</v>
      </c>
      <c r="J23" s="145">
        <f t="shared" si="3"/>
        <v>88.81675990999986</v>
      </c>
      <c r="K23" s="145">
        <f t="shared" si="3"/>
        <v>41.077327719399932</v>
      </c>
      <c r="L23" s="55"/>
      <c r="M23" s="55"/>
      <c r="N23" s="55"/>
      <c r="O23" s="55"/>
    </row>
    <row r="24" spans="2:15" s="46" customFormat="1" ht="8.4" customHeight="1" x14ac:dyDescent="0.3">
      <c r="E24" s="146"/>
      <c r="F24" s="146"/>
      <c r="G24" s="146"/>
      <c r="H24" s="146"/>
      <c r="I24" s="146"/>
      <c r="J24" s="146"/>
      <c r="K24" s="146"/>
      <c r="L24" s="55"/>
      <c r="M24" s="55"/>
      <c r="N24" s="55"/>
      <c r="O24" s="55"/>
    </row>
    <row r="25" spans="2:15" s="44" customFormat="1" ht="13.8" x14ac:dyDescent="0.3">
      <c r="B25" s="44" t="s">
        <v>6</v>
      </c>
      <c r="E25" s="141">
        <f>'2. Prognose RR'!E67</f>
        <v>-8</v>
      </c>
      <c r="F25" s="141">
        <f>'2. Prognose RR'!F67</f>
        <v>-25</v>
      </c>
      <c r="G25" s="141">
        <f>'2. Prognose RR'!G67</f>
        <v>-12.450301425000012</v>
      </c>
      <c r="H25" s="141">
        <f>'2. Prognose RR'!H67</f>
        <v>-13.962881249999976</v>
      </c>
      <c r="I25" s="141">
        <f>'2. Prognose RR'!I67</f>
        <v>-9.1707532500000006</v>
      </c>
      <c r="J25" s="141">
        <f>'2. Prognose RR'!J67</f>
        <v>-22.204189977499965</v>
      </c>
      <c r="K25" s="141">
        <f>'2. Prognose RR'!K67</f>
        <v>-10.269331929850011</v>
      </c>
      <c r="L25" s="54"/>
      <c r="M25" s="54"/>
      <c r="N25" s="54"/>
      <c r="O25" s="54"/>
    </row>
    <row r="26" spans="2:15" s="46" customFormat="1" thickBot="1" x14ac:dyDescent="0.35">
      <c r="B26" s="46" t="s">
        <v>164</v>
      </c>
      <c r="E26" s="147">
        <f t="shared" ref="E26:K26" si="4">SUM(E23:E25)</f>
        <v>63</v>
      </c>
      <c r="F26" s="147">
        <f t="shared" si="4"/>
        <v>53</v>
      </c>
      <c r="G26" s="147">
        <f t="shared" si="4"/>
        <v>37.350904275000033</v>
      </c>
      <c r="H26" s="147">
        <f t="shared" si="4"/>
        <v>41.888643750000043</v>
      </c>
      <c r="I26" s="147">
        <f t="shared" si="4"/>
        <v>27.512259750000002</v>
      </c>
      <c r="J26" s="147">
        <f t="shared" si="4"/>
        <v>66.612569932499895</v>
      </c>
      <c r="K26" s="147">
        <f t="shared" si="4"/>
        <v>30.807995789549921</v>
      </c>
      <c r="L26" s="55"/>
      <c r="M26" s="55"/>
      <c r="N26" s="55"/>
      <c r="O26" s="55"/>
    </row>
    <row r="27" spans="2:15" s="44" customFormat="1" thickTop="1" x14ac:dyDescent="0.3">
      <c r="E27" s="141"/>
      <c r="F27" s="141"/>
      <c r="G27" s="141"/>
      <c r="H27" s="141"/>
      <c r="I27" s="141"/>
      <c r="J27" s="141"/>
      <c r="K27" s="141"/>
      <c r="L27" s="54"/>
      <c r="M27" s="54"/>
      <c r="N27" s="54"/>
      <c r="O27" s="54"/>
    </row>
    <row r="28" spans="2:15" s="44" customFormat="1" ht="13.8" x14ac:dyDescent="0.3">
      <c r="B28" s="44" t="s">
        <v>62</v>
      </c>
      <c r="E28" s="141">
        <f>-'2. Prognose RR'!E72</f>
        <v>10</v>
      </c>
      <c r="F28" s="141">
        <f>-'2. Prognose RR'!F72</f>
        <v>11</v>
      </c>
      <c r="G28" s="141">
        <f>-'2. Prognose RR'!G72</f>
        <v>10</v>
      </c>
      <c r="H28" s="141">
        <f>-'2. Prognose RR'!H72</f>
        <v>10</v>
      </c>
      <c r="I28" s="141">
        <f>-'2. Prognose RR'!I72</f>
        <v>15</v>
      </c>
      <c r="J28" s="141">
        <f>-'2. Prognose RR'!J72</f>
        <v>20</v>
      </c>
      <c r="K28" s="141">
        <f>-'2. Prognose RR'!K72</f>
        <v>20</v>
      </c>
      <c r="L28" s="54"/>
      <c r="M28" s="54"/>
      <c r="N28" s="54"/>
      <c r="O28" s="54"/>
    </row>
    <row r="29" spans="2:15" s="44" customFormat="1" ht="13.8" x14ac:dyDescent="0.3">
      <c r="B29" s="44" t="s">
        <v>34</v>
      </c>
      <c r="E29" s="141">
        <f>E17-E12</f>
        <v>85</v>
      </c>
      <c r="F29" s="141">
        <f t="shared" ref="F29:K29" si="5">F17-F12</f>
        <v>89</v>
      </c>
      <c r="G29" s="141">
        <f t="shared" si="5"/>
        <v>70.745000000000047</v>
      </c>
      <c r="H29" s="141">
        <f t="shared" si="5"/>
        <v>38.001525000000015</v>
      </c>
      <c r="I29" s="141">
        <f t="shared" si="5"/>
        <v>84.008013000000005</v>
      </c>
      <c r="J29" s="141">
        <f t="shared" si="5"/>
        <v>129.81675990999986</v>
      </c>
      <c r="K29" s="141">
        <f t="shared" si="5"/>
        <v>80.452327719399932</v>
      </c>
      <c r="L29" s="54"/>
      <c r="M29" s="54"/>
      <c r="N29" s="54"/>
      <c r="O29" s="54"/>
    </row>
    <row r="30" spans="2:15" s="44" customFormat="1" ht="13.8" x14ac:dyDescent="0.3">
      <c r="B30" s="44" t="s">
        <v>38</v>
      </c>
      <c r="E30" s="141">
        <f>'2. Prognose RR'!E24</f>
        <v>5</v>
      </c>
      <c r="F30" s="141">
        <f>'2. Prognose RR'!F24</f>
        <v>5</v>
      </c>
      <c r="G30" s="141">
        <f>'2. Prognose RR'!G24</f>
        <v>6</v>
      </c>
      <c r="H30" s="141">
        <f>'2. Prognose RR'!H24</f>
        <v>6</v>
      </c>
      <c r="I30" s="141">
        <f>'2. Prognose RR'!I24</f>
        <v>6</v>
      </c>
      <c r="J30" s="141">
        <f>'2. Prognose RR'!J24</f>
        <v>6</v>
      </c>
      <c r="K30" s="141">
        <f>'2. Prognose RR'!K24</f>
        <v>7</v>
      </c>
      <c r="L30" s="54"/>
      <c r="M30" s="54"/>
      <c r="N30" s="54"/>
      <c r="O30" s="54"/>
    </row>
    <row r="31" spans="2:15" s="44" customFormat="1" ht="13.8" x14ac:dyDescent="0.3">
      <c r="E31" s="141"/>
      <c r="F31" s="141"/>
      <c r="G31" s="141"/>
      <c r="H31" s="141"/>
      <c r="I31" s="141"/>
      <c r="J31" s="141"/>
      <c r="K31" s="141"/>
      <c r="L31" s="54"/>
      <c r="M31" s="54"/>
      <c r="N31" s="54"/>
      <c r="O31" s="54"/>
    </row>
    <row r="32" spans="2:15" s="44" customFormat="1" ht="13.8" x14ac:dyDescent="0.3">
      <c r="B32" s="44" t="s">
        <v>64</v>
      </c>
      <c r="E32" s="49">
        <f>E29/E9</f>
        <v>0.15454545454545454</v>
      </c>
      <c r="F32" s="49">
        <f t="shared" ref="F32:K32" si="6">F29/F9</f>
        <v>0.15344827586206897</v>
      </c>
      <c r="G32" s="49">
        <f t="shared" si="6"/>
        <v>0.11381113256113264</v>
      </c>
      <c r="H32" s="49">
        <f t="shared" si="6"/>
        <v>5.8558524199494748E-2</v>
      </c>
      <c r="I32" s="49">
        <f t="shared" si="6"/>
        <v>0.11859569577650707</v>
      </c>
      <c r="J32" s="49">
        <f t="shared" si="6"/>
        <v>0.16861950068813433</v>
      </c>
      <c r="K32" s="49">
        <f t="shared" si="6"/>
        <v>0.10245082873531654</v>
      </c>
      <c r="L32" s="54"/>
      <c r="M32" s="54"/>
      <c r="N32" s="54"/>
      <c r="O32" s="54"/>
    </row>
    <row r="33" spans="2:15" s="44" customFormat="1" ht="13.8" x14ac:dyDescent="0.3">
      <c r="B33" s="44" t="s">
        <v>163</v>
      </c>
      <c r="E33" s="49">
        <f>E17/E9</f>
        <v>0.13636363636363635</v>
      </c>
      <c r="F33" s="49">
        <f>F17/F9</f>
        <v>0.13448275862068965</v>
      </c>
      <c r="G33" s="49">
        <f>G17/G9</f>
        <v>8.1790871460746525E-2</v>
      </c>
      <c r="H33" s="49">
        <f>H17/H9</f>
        <v>2.3116629260058013E-2</v>
      </c>
      <c r="I33" s="49">
        <f>I17/I9</f>
        <v>6.6362098206109096E-2</v>
      </c>
      <c r="J33" s="49">
        <f>J17/J9</f>
        <v>0.11666334316115989</v>
      </c>
      <c r="K33" s="49">
        <f>K17/K9</f>
        <v>5.1513419395145525E-2</v>
      </c>
      <c r="L33" s="54"/>
      <c r="M33" s="54"/>
      <c r="N33" s="54"/>
      <c r="O33" s="54"/>
    </row>
    <row r="34" spans="2:15" s="44" customFormat="1" ht="13.8" x14ac:dyDescent="0.3">
      <c r="B34" s="44" t="s">
        <v>352</v>
      </c>
      <c r="E34" s="49">
        <f>E26/E9</f>
        <v>0.11454545454545455</v>
      </c>
      <c r="F34" s="49">
        <f>F26/F9</f>
        <v>9.1379310344827588E-2</v>
      </c>
      <c r="G34" s="49">
        <f>G26/G9</f>
        <v>6.008832734073364E-2</v>
      </c>
      <c r="H34" s="49">
        <f>H26/H9</f>
        <v>6.4548387432304122E-2</v>
      </c>
      <c r="I34" s="49">
        <f>I26/I9</f>
        <v>3.8839575784696163E-2</v>
      </c>
      <c r="J34" s="49">
        <f>J26/J9</f>
        <v>8.6523329417239142E-2</v>
      </c>
      <c r="K34" s="49">
        <f>K26/K9</f>
        <v>3.9231987312064238E-2</v>
      </c>
      <c r="L34" s="54"/>
      <c r="M34" s="54"/>
      <c r="N34" s="54"/>
      <c r="O34" s="54"/>
    </row>
  </sheetData>
  <conditionalFormatting sqref="O2">
    <cfRule type="cellIs" dxfId="52" priority="1" operator="notEqual">
      <formula>0</formula>
    </cfRule>
    <cfRule type="cellIs" dxfId="51" priority="2" operator="equal">
      <formula>0</formula>
    </cfRule>
  </conditionalFormatting>
  <pageMargins left="0.7" right="0.7" top="0.75" bottom="0.75" header="0.3" footer="0.3"/>
  <pageSetup paperSize="9" scale="8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53"/>
  <sheetViews>
    <sheetView showGridLines="0" zoomScale="90" zoomScaleNormal="90" workbookViewId="0">
      <pane ySplit="5" topLeftCell="A6" activePane="bottomLeft" state="frozen"/>
      <selection activeCell="A6" sqref="A6"/>
      <selection pane="bottomLeft" activeCell="A6" sqref="A6"/>
    </sheetView>
  </sheetViews>
  <sheetFormatPr defaultRowHeight="14.4" x14ac:dyDescent="0.3"/>
  <cols>
    <col min="1" max="1" width="2.21875" customWidth="1"/>
    <col min="2" max="2" width="28.21875" customWidth="1"/>
    <col min="3" max="4" width="2.6640625" customWidth="1"/>
    <col min="12" max="15" width="9.109375" style="4"/>
  </cols>
  <sheetData>
    <row r="1" spans="2:16" x14ac:dyDescent="0.3">
      <c r="K1" s="33" t="s">
        <v>33</v>
      </c>
    </row>
    <row r="2" spans="2:16" ht="15.6" x14ac:dyDescent="0.3">
      <c r="B2" s="32" t="s">
        <v>8</v>
      </c>
      <c r="C2" s="16"/>
      <c r="D2" s="16"/>
      <c r="E2" s="16"/>
      <c r="F2" s="16"/>
      <c r="G2" s="16"/>
      <c r="H2" s="16"/>
      <c r="I2" s="16"/>
      <c r="J2" s="16"/>
      <c r="N2" s="26" t="s">
        <v>375</v>
      </c>
      <c r="O2" s="26"/>
      <c r="P2" s="200">
        <f>ErrorChecks!$B$5</f>
        <v>0</v>
      </c>
    </row>
    <row r="3" spans="2:16" x14ac:dyDescent="0.3">
      <c r="B3" s="16"/>
      <c r="C3" s="16"/>
      <c r="D3" s="16"/>
    </row>
    <row r="4" spans="2:16" s="9" customFormat="1" ht="12" x14ac:dyDescent="0.25">
      <c r="B4" s="11" t="s">
        <v>19</v>
      </c>
      <c r="C4" s="11"/>
      <c r="D4" s="11"/>
      <c r="E4" s="89" t="str">
        <f>IF(E33=0,"OK","CHECK")</f>
        <v>OK</v>
      </c>
      <c r="F4" s="89" t="str">
        <f t="shared" ref="F4:K4" si="0">IF(F33=0,"OK","CHECK")</f>
        <v>OK</v>
      </c>
      <c r="G4" s="89" t="str">
        <f t="shared" si="0"/>
        <v>OK</v>
      </c>
      <c r="H4" s="89" t="str">
        <f t="shared" si="0"/>
        <v>OK</v>
      </c>
      <c r="I4" s="89" t="str">
        <f t="shared" si="0"/>
        <v>OK</v>
      </c>
      <c r="J4" s="89" t="str">
        <f t="shared" si="0"/>
        <v>OK</v>
      </c>
      <c r="K4" s="89" t="str">
        <f t="shared" si="0"/>
        <v>OK</v>
      </c>
      <c r="L4" s="90"/>
      <c r="M4" s="90"/>
      <c r="N4" s="90"/>
      <c r="O4" s="90"/>
    </row>
    <row r="5" spans="2:16" s="46" customFormat="1" ht="13.8" x14ac:dyDescent="0.3">
      <c r="B5" s="131"/>
      <c r="C5" s="132"/>
      <c r="D5" s="131"/>
      <c r="E5" s="132" t="str">
        <f>RR!E5</f>
        <v>R 2024</v>
      </c>
      <c r="F5" s="132" t="str">
        <f>RR!F5</f>
        <v>R 2025</v>
      </c>
      <c r="G5" s="132" t="str">
        <f>RR!G5</f>
        <v>P 2026</v>
      </c>
      <c r="H5" s="132" t="str">
        <f>RR!H5</f>
        <v>P 2027</v>
      </c>
      <c r="I5" s="132" t="str">
        <f>RR!I5</f>
        <v>P 2028</v>
      </c>
      <c r="J5" s="132" t="str">
        <f>RR!J5</f>
        <v>P 2029</v>
      </c>
      <c r="K5" s="132" t="str">
        <f>RR!K5</f>
        <v>P 2030</v>
      </c>
      <c r="L5" s="54"/>
      <c r="M5" s="54"/>
      <c r="N5" s="54"/>
      <c r="O5" s="54"/>
      <c r="P5" s="54"/>
    </row>
    <row r="6" spans="2:16" s="44" customFormat="1" ht="13.8" x14ac:dyDescent="0.3">
      <c r="E6" s="135"/>
      <c r="F6" s="135"/>
      <c r="G6" s="135"/>
      <c r="H6" s="135"/>
      <c r="I6" s="135"/>
      <c r="J6" s="135"/>
      <c r="K6" s="135"/>
    </row>
    <row r="7" spans="2:16" s="44" customFormat="1" ht="13.8" x14ac:dyDescent="0.3">
      <c r="B7" s="54" t="s">
        <v>9</v>
      </c>
      <c r="C7" s="54"/>
      <c r="D7" s="54"/>
      <c r="E7" s="141">
        <f>'3. Prognose BS'!E26</f>
        <v>120</v>
      </c>
      <c r="F7" s="141">
        <f>'3. Prognose BS'!F26</f>
        <v>140</v>
      </c>
      <c r="G7" s="141">
        <f>'3. Prognose BS'!G26</f>
        <v>160.09620569999998</v>
      </c>
      <c r="H7" s="141">
        <f>'3. Prognose BS'!H26</f>
        <v>167.09620569999998</v>
      </c>
      <c r="I7" s="141">
        <f>'3. Prognose BS'!I26</f>
        <v>280.09620569999998</v>
      </c>
      <c r="J7" s="141">
        <f>'3. Prognose BS'!J26</f>
        <v>280.09620569999998</v>
      </c>
      <c r="K7" s="141">
        <f>'3. Prognose BS'!K26</f>
        <v>280.09620569999998</v>
      </c>
      <c r="L7" s="54"/>
      <c r="M7" s="54"/>
      <c r="N7" s="54"/>
      <c r="O7" s="54"/>
    </row>
    <row r="8" spans="2:16" s="46" customFormat="1" ht="13.8" x14ac:dyDescent="0.3">
      <c r="B8" s="55" t="s">
        <v>10</v>
      </c>
      <c r="C8" s="55"/>
      <c r="D8" s="55"/>
      <c r="E8" s="145">
        <f t="shared" ref="E8:K8" si="1">SUM(E7:E7)</f>
        <v>120</v>
      </c>
      <c r="F8" s="145">
        <f t="shared" si="1"/>
        <v>140</v>
      </c>
      <c r="G8" s="145">
        <f t="shared" si="1"/>
        <v>160.09620569999998</v>
      </c>
      <c r="H8" s="145">
        <f t="shared" si="1"/>
        <v>167.09620569999998</v>
      </c>
      <c r="I8" s="145">
        <f t="shared" si="1"/>
        <v>280.09620569999998</v>
      </c>
      <c r="J8" s="145">
        <f t="shared" si="1"/>
        <v>280.09620569999998</v>
      </c>
      <c r="K8" s="145">
        <f t="shared" si="1"/>
        <v>280.09620569999998</v>
      </c>
      <c r="L8" s="55"/>
      <c r="M8" s="55"/>
      <c r="N8" s="55"/>
      <c r="O8" s="55"/>
    </row>
    <row r="9" spans="2:16" s="44" customFormat="1" ht="13.8" x14ac:dyDescent="0.3">
      <c r="B9" s="54"/>
      <c r="C9" s="54"/>
      <c r="D9" s="54"/>
      <c r="E9" s="141"/>
      <c r="F9" s="141"/>
      <c r="G9" s="141"/>
      <c r="H9" s="141"/>
      <c r="I9" s="141"/>
      <c r="J9" s="141"/>
      <c r="K9" s="141"/>
      <c r="L9" s="54"/>
      <c r="M9" s="54"/>
      <c r="N9" s="54"/>
      <c r="O9" s="54"/>
    </row>
    <row r="10" spans="2:16" s="44" customFormat="1" ht="13.8" x14ac:dyDescent="0.3">
      <c r="B10" s="54" t="s">
        <v>11</v>
      </c>
      <c r="C10" s="54"/>
      <c r="D10" s="54"/>
      <c r="E10" s="141">
        <f>'3. Prognose BS'!E39</f>
        <v>25</v>
      </c>
      <c r="F10" s="141">
        <f>'3. Prognose BS'!F39</f>
        <v>10</v>
      </c>
      <c r="G10" s="141">
        <f>'3. Prognose BS'!G39</f>
        <v>10.269863013698629</v>
      </c>
      <c r="H10" s="141">
        <f>'3. Prognose BS'!H39</f>
        <v>11.348198630136986</v>
      </c>
      <c r="I10" s="141">
        <f>'3. Prognose BS'!I39</f>
        <v>12.465559726027397</v>
      </c>
      <c r="J10" s="141">
        <f>'3. Prognose BS'!J39</f>
        <v>13.62307598630137</v>
      </c>
      <c r="K10" s="141">
        <f>'3. Prognose BS'!K39</f>
        <v>13.895537506027397</v>
      </c>
      <c r="L10" s="54"/>
      <c r="M10" s="54"/>
      <c r="N10" s="54"/>
      <c r="O10" s="54"/>
    </row>
    <row r="11" spans="2:16" s="44" customFormat="1" ht="13.8" x14ac:dyDescent="0.3">
      <c r="B11" s="54" t="s">
        <v>29</v>
      </c>
      <c r="C11" s="54"/>
      <c r="D11" s="54"/>
      <c r="E11" s="141">
        <f>'3. Prognose BS'!E42</f>
        <v>60</v>
      </c>
      <c r="F11" s="141">
        <f>'3. Prognose BS'!F42</f>
        <v>61</v>
      </c>
      <c r="G11" s="141">
        <f>'3. Prognose BS'!G42</f>
        <v>44.013698630136986</v>
      </c>
      <c r="H11" s="141">
        <f>'3. Prognose BS'!H42</f>
        <v>48.635136986301369</v>
      </c>
      <c r="I11" s="141">
        <f>'3. Prognose BS'!I42</f>
        <v>53.423827397260276</v>
      </c>
      <c r="J11" s="141">
        <f>'3. Prognose BS'!J42</f>
        <v>58.384611369863016</v>
      </c>
      <c r="K11" s="141">
        <f>'3. Prognose BS'!K42</f>
        <v>59.552303597260277</v>
      </c>
      <c r="L11" s="54"/>
      <c r="M11" s="54"/>
      <c r="N11" s="54"/>
      <c r="O11" s="54"/>
    </row>
    <row r="12" spans="2:16" s="44" customFormat="1" ht="13.8" x14ac:dyDescent="0.3">
      <c r="B12" s="54" t="s">
        <v>39</v>
      </c>
      <c r="C12" s="54"/>
      <c r="D12" s="54"/>
      <c r="E12" s="141">
        <f>'3. Prognose BS'!E45</f>
        <v>5</v>
      </c>
      <c r="F12" s="141">
        <f>'3. Prognose BS'!F45</f>
        <v>6</v>
      </c>
      <c r="G12" s="141">
        <f>'3. Prognose BS'!G45</f>
        <v>3.2130000000000001</v>
      </c>
      <c r="H12" s="141">
        <f>'3. Prognose BS'!H45</f>
        <v>3.5503649999999998</v>
      </c>
      <c r="I12" s="141">
        <f>'3. Prognose BS'!I45</f>
        <v>3.8999394000000005</v>
      </c>
      <c r="J12" s="141">
        <f>'3. Prognose BS'!J45</f>
        <v>4.2620766300000001</v>
      </c>
      <c r="K12" s="141">
        <f>'3. Prognose BS'!K45</f>
        <v>4.3473181625999997</v>
      </c>
      <c r="L12" s="54"/>
      <c r="M12" s="54"/>
      <c r="N12" s="54"/>
      <c r="O12" s="54"/>
    </row>
    <row r="13" spans="2:16" s="44" customFormat="1" ht="13.8" x14ac:dyDescent="0.3">
      <c r="B13" s="54" t="s">
        <v>12</v>
      </c>
      <c r="C13" s="54"/>
      <c r="D13" s="54"/>
      <c r="E13" s="141">
        <f>'3. Prognose BS'!E47</f>
        <v>104</v>
      </c>
      <c r="F13" s="141">
        <f>'3. Prognose BS'!F47</f>
        <v>79</v>
      </c>
      <c r="G13" s="141">
        <f>'3. Prognose BS'!G47</f>
        <v>69.987178027054881</v>
      </c>
      <c r="H13" s="141">
        <f>'3. Prognose BS'!H47</f>
        <v>201.249375955137</v>
      </c>
      <c r="I13" s="141">
        <f>'3. Prognose BS'!I47</f>
        <v>31.997839058561681</v>
      </c>
      <c r="J13" s="141">
        <f>'3. Prognose BS'!J47</f>
        <v>29.705218065171096</v>
      </c>
      <c r="K13" s="141">
        <f>'3. Prognose BS'!K47</f>
        <v>9.9019547758746285</v>
      </c>
      <c r="L13" s="54"/>
      <c r="M13" s="70"/>
      <c r="N13" s="54"/>
      <c r="O13" s="54"/>
    </row>
    <row r="14" spans="2:16" s="46" customFormat="1" ht="13.8" x14ac:dyDescent="0.3">
      <c r="B14" s="55" t="s">
        <v>13</v>
      </c>
      <c r="C14" s="55"/>
      <c r="D14" s="55"/>
      <c r="E14" s="145">
        <f t="shared" ref="E14:K14" si="2">SUM(E10:E13)</f>
        <v>194</v>
      </c>
      <c r="F14" s="145">
        <f t="shared" si="2"/>
        <v>156</v>
      </c>
      <c r="G14" s="145">
        <f t="shared" si="2"/>
        <v>127.48373967089049</v>
      </c>
      <c r="H14" s="145">
        <f t="shared" si="2"/>
        <v>264.78307657157535</v>
      </c>
      <c r="I14" s="145">
        <f t="shared" si="2"/>
        <v>101.78716558184935</v>
      </c>
      <c r="J14" s="145">
        <f t="shared" si="2"/>
        <v>105.97498205133547</v>
      </c>
      <c r="K14" s="145">
        <f t="shared" si="2"/>
        <v>87.697114041762305</v>
      </c>
      <c r="L14" s="55"/>
      <c r="M14" s="55"/>
      <c r="N14" s="55"/>
      <c r="O14" s="55"/>
    </row>
    <row r="15" spans="2:16" s="46" customFormat="1" ht="13.8" x14ac:dyDescent="0.3">
      <c r="B15" s="55"/>
      <c r="C15" s="55"/>
      <c r="D15" s="55"/>
      <c r="E15" s="146"/>
      <c r="F15" s="146"/>
      <c r="G15" s="146"/>
      <c r="H15" s="146"/>
      <c r="I15" s="146"/>
      <c r="J15" s="146"/>
      <c r="K15" s="146"/>
      <c r="L15" s="55"/>
      <c r="M15" s="55"/>
      <c r="N15" s="55"/>
      <c r="O15" s="55"/>
    </row>
    <row r="16" spans="2:16" s="46" customFormat="1" thickBot="1" x14ac:dyDescent="0.35">
      <c r="B16" s="55" t="s">
        <v>14</v>
      </c>
      <c r="C16" s="55"/>
      <c r="D16" s="55"/>
      <c r="E16" s="147">
        <f t="shared" ref="E16:K16" si="3">E8+E14</f>
        <v>314</v>
      </c>
      <c r="F16" s="147">
        <f t="shared" si="3"/>
        <v>296</v>
      </c>
      <c r="G16" s="147">
        <f t="shared" si="3"/>
        <v>287.57994537089047</v>
      </c>
      <c r="H16" s="147">
        <f t="shared" si="3"/>
        <v>431.87928227157533</v>
      </c>
      <c r="I16" s="147">
        <f t="shared" si="3"/>
        <v>381.88337128184935</v>
      </c>
      <c r="J16" s="147">
        <f t="shared" si="3"/>
        <v>386.07118775133546</v>
      </c>
      <c r="K16" s="147">
        <f t="shared" si="3"/>
        <v>367.79331974176228</v>
      </c>
      <c r="L16" s="55"/>
      <c r="M16" s="55"/>
      <c r="N16" s="55"/>
      <c r="O16" s="55"/>
    </row>
    <row r="17" spans="2:15" s="44" customFormat="1" thickTop="1" x14ac:dyDescent="0.3">
      <c r="B17" s="54"/>
      <c r="C17" s="54"/>
      <c r="D17" s="54"/>
      <c r="E17" s="141"/>
      <c r="F17" s="141"/>
      <c r="G17" s="141"/>
      <c r="H17" s="141"/>
      <c r="I17" s="141"/>
      <c r="J17" s="141"/>
      <c r="K17" s="141"/>
      <c r="L17" s="54"/>
      <c r="M17" s="54"/>
      <c r="N17" s="54"/>
      <c r="O17" s="54"/>
    </row>
    <row r="18" spans="2:15" s="46" customFormat="1" ht="13.8" x14ac:dyDescent="0.3">
      <c r="B18" s="55" t="s">
        <v>15</v>
      </c>
      <c r="C18" s="55"/>
      <c r="D18" s="55"/>
      <c r="E18" s="146">
        <f>'3. Prognose BS'!E53</f>
        <v>100</v>
      </c>
      <c r="F18" s="146">
        <f>'3. Prognose BS'!F53</f>
        <v>142</v>
      </c>
      <c r="G18" s="146">
        <f>'3. Prognose BS'!G53</f>
        <v>169.35090427500003</v>
      </c>
      <c r="H18" s="146">
        <f>'3. Prognose BS'!H53</f>
        <v>201.23954802499998</v>
      </c>
      <c r="I18" s="146">
        <f>'3. Prognose BS'!I53</f>
        <v>213.75180777499997</v>
      </c>
      <c r="J18" s="146">
        <f>'3. Prognose BS'!J53</f>
        <v>260.3643777074999</v>
      </c>
      <c r="K18" s="146">
        <f>'3. Prognose BS'!K53</f>
        <v>271.17237349704993</v>
      </c>
      <c r="L18" s="55"/>
      <c r="M18" s="86"/>
      <c r="N18" s="55"/>
      <c r="O18" s="55"/>
    </row>
    <row r="19" spans="2:15" s="44" customFormat="1" ht="13.8" x14ac:dyDescent="0.3">
      <c r="B19" s="54"/>
      <c r="C19" s="54"/>
      <c r="D19" s="54"/>
      <c r="E19" s="141"/>
      <c r="F19" s="141"/>
      <c r="G19" s="141"/>
      <c r="H19" s="141"/>
      <c r="I19" s="141"/>
      <c r="J19" s="141"/>
      <c r="K19" s="141"/>
      <c r="L19" s="54"/>
      <c r="M19" s="70"/>
      <c r="N19" s="54"/>
      <c r="O19" s="54"/>
    </row>
    <row r="20" spans="2:15" s="46" customFormat="1" ht="13.8" x14ac:dyDescent="0.3">
      <c r="B20" s="55" t="s">
        <v>161</v>
      </c>
      <c r="C20" s="55"/>
      <c r="D20" s="55"/>
      <c r="E20" s="146">
        <f>'3. Prognose BS'!E61</f>
        <v>60</v>
      </c>
      <c r="F20" s="146">
        <f>'3. Prognose BS'!F61</f>
        <v>10</v>
      </c>
      <c r="G20" s="146">
        <f>'3. Prognose BS'!G61</f>
        <v>30</v>
      </c>
      <c r="H20" s="146">
        <f>'3. Prognose BS'!H61</f>
        <v>10</v>
      </c>
      <c r="I20" s="146">
        <f>'3. Prognose BS'!I61</f>
        <v>10</v>
      </c>
      <c r="J20" s="146">
        <f>'3. Prognose BS'!J61</f>
        <v>10</v>
      </c>
      <c r="K20" s="146">
        <f>'3. Prognose BS'!K61</f>
        <v>10</v>
      </c>
      <c r="L20" s="55"/>
      <c r="M20" s="86"/>
      <c r="N20" s="55"/>
      <c r="O20" s="55"/>
    </row>
    <row r="21" spans="2:15" s="44" customFormat="1" ht="13.8" x14ac:dyDescent="0.3">
      <c r="B21" s="54"/>
      <c r="C21" s="54"/>
      <c r="D21" s="54"/>
      <c r="E21" s="141"/>
      <c r="F21" s="141"/>
      <c r="G21" s="141"/>
      <c r="H21" s="141"/>
      <c r="I21" s="141"/>
      <c r="J21" s="141"/>
      <c r="K21" s="141"/>
      <c r="L21" s="54"/>
      <c r="M21" s="70"/>
      <c r="N21" s="54"/>
      <c r="O21" s="54"/>
    </row>
    <row r="22" spans="2:15" s="46" customFormat="1" ht="13.8" x14ac:dyDescent="0.3">
      <c r="B22" s="55" t="s">
        <v>24</v>
      </c>
      <c r="C22" s="55"/>
      <c r="D22" s="55"/>
      <c r="E22" s="146">
        <f>'3. Prognose BS'!E95</f>
        <v>70</v>
      </c>
      <c r="F22" s="146">
        <f>'3. Prognose BS'!F95</f>
        <v>60</v>
      </c>
      <c r="G22" s="146">
        <f>'3. Prognose BS'!G95</f>
        <v>30</v>
      </c>
      <c r="H22" s="146">
        <f>'3. Prognose BS'!H95</f>
        <v>90</v>
      </c>
      <c r="I22" s="146">
        <f>'3. Prognose BS'!I95</f>
        <v>60</v>
      </c>
      <c r="J22" s="146">
        <f>'3. Prognose BS'!J95</f>
        <v>40</v>
      </c>
      <c r="K22" s="146">
        <f>'3. Prognose BS'!K95</f>
        <v>20</v>
      </c>
      <c r="L22" s="55"/>
      <c r="M22" s="86"/>
      <c r="N22" s="55"/>
      <c r="O22" s="55"/>
    </row>
    <row r="23" spans="2:15" s="44" customFormat="1" ht="13.8" x14ac:dyDescent="0.3">
      <c r="B23" s="54"/>
      <c r="C23" s="54"/>
      <c r="D23" s="54"/>
      <c r="E23" s="141"/>
      <c r="F23" s="141"/>
      <c r="G23" s="141"/>
      <c r="H23" s="141"/>
      <c r="I23" s="141"/>
      <c r="J23" s="141"/>
      <c r="K23" s="141"/>
      <c r="L23" s="54"/>
      <c r="M23" s="54"/>
      <c r="N23" s="54"/>
      <c r="O23" s="54"/>
    </row>
    <row r="24" spans="2:15" s="44" customFormat="1" ht="13.8" x14ac:dyDescent="0.3">
      <c r="B24" s="54" t="s">
        <v>49</v>
      </c>
      <c r="C24" s="54"/>
      <c r="D24" s="54"/>
      <c r="E24" s="141">
        <f>-'3. Prognose BS'!E93</f>
        <v>10</v>
      </c>
      <c r="F24" s="141">
        <f>-'3. Prognose BS'!F93</f>
        <v>10</v>
      </c>
      <c r="G24" s="141">
        <f>-'3. Prognose BS'!G93</f>
        <v>20</v>
      </c>
      <c r="H24" s="141">
        <f>-'3. Prognose BS'!H93</f>
        <v>40</v>
      </c>
      <c r="I24" s="141">
        <f>-'3. Prognose BS'!I93</f>
        <v>30</v>
      </c>
      <c r="J24" s="141">
        <f>-'3. Prognose BS'!J93</f>
        <v>30</v>
      </c>
      <c r="K24" s="141">
        <f>-'3. Prognose BS'!K93</f>
        <v>20</v>
      </c>
      <c r="L24" s="54"/>
      <c r="M24" s="54"/>
      <c r="N24" s="54"/>
      <c r="O24" s="54"/>
    </row>
    <row r="25" spans="2:15" s="44" customFormat="1" ht="13.8" x14ac:dyDescent="0.3">
      <c r="B25" s="54" t="s">
        <v>16</v>
      </c>
      <c r="C25" s="54"/>
      <c r="D25" s="54"/>
      <c r="E25" s="141">
        <f>'3. Prognose BS'!E110</f>
        <v>4</v>
      </c>
      <c r="F25" s="141">
        <f>'3. Prognose BS'!F110</f>
        <v>4</v>
      </c>
      <c r="G25" s="141">
        <f>'3. Prognose BS'!G110</f>
        <v>0</v>
      </c>
      <c r="H25" s="141">
        <f>'3. Prognose BS'!H110</f>
        <v>50</v>
      </c>
      <c r="I25" s="141">
        <f>'3. Prognose BS'!I110</f>
        <v>25</v>
      </c>
      <c r="J25" s="141">
        <f>'3. Prognose BS'!J110</f>
        <v>0</v>
      </c>
      <c r="K25" s="141">
        <f>'3. Prognose BS'!K110</f>
        <v>0</v>
      </c>
      <c r="L25" s="54"/>
      <c r="M25" s="54"/>
      <c r="N25" s="54"/>
      <c r="O25" s="54"/>
    </row>
    <row r="26" spans="2:15" s="44" customFormat="1" ht="13.8" x14ac:dyDescent="0.3">
      <c r="B26" s="54" t="s">
        <v>30</v>
      </c>
      <c r="C26" s="54"/>
      <c r="D26" s="54"/>
      <c r="E26" s="141">
        <f>'3. Prognose BS'!E116</f>
        <v>40</v>
      </c>
      <c r="F26" s="141">
        <f>'3. Prognose BS'!F116</f>
        <v>45</v>
      </c>
      <c r="G26" s="141">
        <f>'3. Prognose BS'!G116</f>
        <v>22.164041095890411</v>
      </c>
      <c r="H26" s="141">
        <f>'3. Prognose BS'!H116</f>
        <v>22.887909246575344</v>
      </c>
      <c r="I26" s="141">
        <f>'3. Prognose BS'!I116</f>
        <v>23.631866506849313</v>
      </c>
      <c r="J26" s="141">
        <f>'3. Prognose BS'!J116</f>
        <v>24.396426893835617</v>
      </c>
      <c r="K26" s="141">
        <f>'3. Prognose BS'!K116</f>
        <v>24.884355431712329</v>
      </c>
      <c r="L26" s="54"/>
      <c r="M26" s="54"/>
      <c r="N26" s="54"/>
      <c r="O26" s="54"/>
    </row>
    <row r="27" spans="2:15" s="44" customFormat="1" ht="13.8" x14ac:dyDescent="0.3">
      <c r="B27" s="54" t="s">
        <v>40</v>
      </c>
      <c r="C27" s="54"/>
      <c r="D27" s="54"/>
      <c r="E27" s="141">
        <f>'3. Prognose BS'!E120</f>
        <v>30</v>
      </c>
      <c r="F27" s="141">
        <f>'3. Prognose BS'!F120</f>
        <v>25</v>
      </c>
      <c r="G27" s="141">
        <f>'3. Prognose BS'!G120</f>
        <v>16.064999999999998</v>
      </c>
      <c r="H27" s="141">
        <f>'3. Prognose BS'!H120</f>
        <v>17.751824999999997</v>
      </c>
      <c r="I27" s="141">
        <f>'3. Prognose BS'!I120</f>
        <v>19.499697000000001</v>
      </c>
      <c r="J27" s="141">
        <f>'3. Prognose BS'!J120</f>
        <v>21.31038315</v>
      </c>
      <c r="K27" s="141">
        <f>'3. Prognose BS'!K120</f>
        <v>21.736590812999999</v>
      </c>
      <c r="L27" s="54"/>
      <c r="M27" s="54"/>
      <c r="N27" s="54"/>
      <c r="O27" s="54"/>
    </row>
    <row r="28" spans="2:15" s="46" customFormat="1" ht="13.8" x14ac:dyDescent="0.3">
      <c r="B28" s="46" t="s">
        <v>118</v>
      </c>
      <c r="E28" s="145">
        <f>SUM(E24:E27)</f>
        <v>84</v>
      </c>
      <c r="F28" s="145">
        <f t="shared" ref="F28:K28" si="4">SUM(F24:F27)</f>
        <v>84</v>
      </c>
      <c r="G28" s="145">
        <f t="shared" si="4"/>
        <v>58.229041095890409</v>
      </c>
      <c r="H28" s="145">
        <f t="shared" si="4"/>
        <v>130.63973424657536</v>
      </c>
      <c r="I28" s="145">
        <f t="shared" si="4"/>
        <v>98.131563506849318</v>
      </c>
      <c r="J28" s="145">
        <f t="shared" si="4"/>
        <v>75.706810043835617</v>
      </c>
      <c r="K28" s="145">
        <f t="shared" si="4"/>
        <v>66.620946244712329</v>
      </c>
      <c r="L28" s="55"/>
      <c r="M28" s="55"/>
      <c r="N28" s="55"/>
      <c r="O28" s="55"/>
    </row>
    <row r="29" spans="2:15" s="44" customFormat="1" ht="13.8" x14ac:dyDescent="0.3">
      <c r="E29" s="141"/>
      <c r="F29" s="141"/>
      <c r="G29" s="141"/>
      <c r="H29" s="141"/>
      <c r="I29" s="141"/>
      <c r="J29" s="141"/>
      <c r="K29" s="141"/>
      <c r="L29" s="54"/>
      <c r="M29" s="54"/>
      <c r="N29" s="54"/>
      <c r="O29" s="54"/>
    </row>
    <row r="30" spans="2:15" s="46" customFormat="1" thickBot="1" x14ac:dyDescent="0.35">
      <c r="B30" s="46" t="s">
        <v>17</v>
      </c>
      <c r="E30" s="147">
        <f>E18+E20+E22+E28</f>
        <v>314</v>
      </c>
      <c r="F30" s="147">
        <f t="shared" ref="F30:K30" si="5">F18+F20+F22+F28</f>
        <v>296</v>
      </c>
      <c r="G30" s="147">
        <f t="shared" si="5"/>
        <v>287.57994537089041</v>
      </c>
      <c r="H30" s="147">
        <f t="shared" si="5"/>
        <v>431.87928227157533</v>
      </c>
      <c r="I30" s="147">
        <f t="shared" si="5"/>
        <v>381.88337128184929</v>
      </c>
      <c r="J30" s="147">
        <f t="shared" si="5"/>
        <v>386.07118775133551</v>
      </c>
      <c r="K30" s="147">
        <f t="shared" si="5"/>
        <v>367.79331974176228</v>
      </c>
      <c r="L30" s="55"/>
      <c r="M30" s="55"/>
      <c r="N30" s="55"/>
      <c r="O30" s="55"/>
    </row>
    <row r="31" spans="2:15" s="44" customFormat="1" thickTop="1" x14ac:dyDescent="0.3">
      <c r="E31" s="141"/>
      <c r="F31" s="141"/>
      <c r="G31" s="141"/>
      <c r="H31" s="141"/>
      <c r="I31" s="141"/>
      <c r="J31" s="141"/>
      <c r="K31" s="141"/>
      <c r="L31" s="54"/>
      <c r="M31" s="54"/>
      <c r="N31" s="54"/>
      <c r="O31" s="54"/>
    </row>
    <row r="32" spans="2:15" s="44" customFormat="1" ht="13.8" x14ac:dyDescent="0.3">
      <c r="E32" s="141"/>
      <c r="F32" s="141"/>
      <c r="G32" s="141"/>
      <c r="H32" s="141"/>
      <c r="I32" s="141"/>
      <c r="J32" s="141"/>
      <c r="K32" s="141"/>
      <c r="L32" s="54"/>
      <c r="M32" s="54"/>
      <c r="N32" s="54"/>
      <c r="O32" s="54"/>
    </row>
    <row r="33" spans="2:15" s="56" customFormat="1" ht="13.8" x14ac:dyDescent="0.3">
      <c r="B33" s="56" t="s">
        <v>18</v>
      </c>
      <c r="E33" s="142">
        <f t="shared" ref="E33:K33" si="6">E16-E30</f>
        <v>0</v>
      </c>
      <c r="F33" s="142">
        <f t="shared" si="6"/>
        <v>0</v>
      </c>
      <c r="G33" s="142">
        <f t="shared" si="6"/>
        <v>0</v>
      </c>
      <c r="H33" s="142">
        <f t="shared" si="6"/>
        <v>0</v>
      </c>
      <c r="I33" s="142">
        <f t="shared" si="6"/>
        <v>0</v>
      </c>
      <c r="J33" s="142">
        <f t="shared" si="6"/>
        <v>0</v>
      </c>
      <c r="K33" s="142">
        <f t="shared" si="6"/>
        <v>0</v>
      </c>
      <c r="L33" s="87"/>
      <c r="M33" s="87"/>
      <c r="N33" s="87"/>
      <c r="O33" s="87"/>
    </row>
    <row r="34" spans="2:15" s="44" customFormat="1" ht="13.8" x14ac:dyDescent="0.3">
      <c r="E34" s="141"/>
      <c r="F34" s="141"/>
      <c r="G34" s="141"/>
      <c r="H34" s="141"/>
      <c r="I34" s="141"/>
      <c r="J34" s="141"/>
      <c r="K34" s="141"/>
      <c r="L34" s="54"/>
      <c r="M34" s="54"/>
      <c r="N34" s="54"/>
      <c r="O34" s="54"/>
    </row>
    <row r="35" spans="2:15" s="2" customFormat="1" x14ac:dyDescent="0.3">
      <c r="E35" s="148"/>
      <c r="F35" s="148"/>
      <c r="G35" s="148"/>
      <c r="H35" s="148"/>
      <c r="I35" s="148"/>
      <c r="J35" s="148"/>
      <c r="K35" s="148"/>
      <c r="L35" s="5"/>
      <c r="M35" s="5"/>
      <c r="N35" s="5"/>
      <c r="O35" s="5"/>
    </row>
    <row r="36" spans="2:15" x14ac:dyDescent="0.3">
      <c r="E36" s="140"/>
      <c r="F36" s="140"/>
      <c r="G36" s="140"/>
      <c r="H36" s="140"/>
      <c r="I36" s="140"/>
      <c r="J36" s="140"/>
      <c r="K36" s="140"/>
    </row>
    <row r="37" spans="2:15" x14ac:dyDescent="0.3">
      <c r="E37" s="140"/>
      <c r="F37" s="140"/>
      <c r="G37" s="140"/>
      <c r="H37" s="140"/>
      <c r="I37" s="140"/>
      <c r="J37" s="140"/>
      <c r="K37" s="140"/>
    </row>
    <row r="38" spans="2:15" x14ac:dyDescent="0.3">
      <c r="E38" s="140"/>
      <c r="F38" s="140"/>
      <c r="G38" s="140"/>
      <c r="H38" s="140"/>
      <c r="I38" s="140"/>
      <c r="J38" s="140"/>
      <c r="K38" s="140"/>
    </row>
    <row r="39" spans="2:15" x14ac:dyDescent="0.3">
      <c r="E39" s="140"/>
      <c r="F39" s="140"/>
      <c r="G39" s="140"/>
      <c r="H39" s="140"/>
      <c r="I39" s="140"/>
      <c r="J39" s="140"/>
      <c r="K39" s="140"/>
    </row>
    <row r="40" spans="2:15" x14ac:dyDescent="0.3">
      <c r="E40" s="140"/>
      <c r="F40" s="140"/>
      <c r="G40" s="140"/>
      <c r="H40" s="140"/>
      <c r="I40" s="140"/>
      <c r="J40" s="140"/>
      <c r="K40" s="140"/>
    </row>
    <row r="41" spans="2:15" x14ac:dyDescent="0.3">
      <c r="E41" s="140"/>
      <c r="F41" s="140"/>
      <c r="G41" s="140"/>
      <c r="H41" s="140"/>
      <c r="I41" s="140"/>
      <c r="J41" s="140"/>
      <c r="K41" s="140"/>
    </row>
    <row r="42" spans="2:15" x14ac:dyDescent="0.3">
      <c r="E42" s="140"/>
      <c r="F42" s="140"/>
      <c r="G42" s="140"/>
      <c r="H42" s="140"/>
      <c r="I42" s="140"/>
      <c r="J42" s="140"/>
      <c r="K42" s="140"/>
    </row>
    <row r="43" spans="2:15" x14ac:dyDescent="0.3">
      <c r="E43" s="140"/>
      <c r="F43" s="140"/>
      <c r="G43" s="140"/>
      <c r="H43" s="140"/>
      <c r="I43" s="140"/>
      <c r="J43" s="140"/>
      <c r="K43" s="140"/>
    </row>
    <row r="44" spans="2:15" x14ac:dyDescent="0.3">
      <c r="E44" s="140"/>
      <c r="F44" s="140"/>
      <c r="G44" s="140"/>
      <c r="H44" s="140"/>
      <c r="I44" s="140"/>
      <c r="J44" s="140"/>
      <c r="K44" s="140"/>
    </row>
    <row r="45" spans="2:15" x14ac:dyDescent="0.3">
      <c r="E45" s="140"/>
      <c r="F45" s="140"/>
      <c r="G45" s="140"/>
      <c r="H45" s="140"/>
      <c r="I45" s="140"/>
      <c r="J45" s="140"/>
      <c r="K45" s="140"/>
    </row>
    <row r="46" spans="2:15" x14ac:dyDescent="0.3">
      <c r="E46" s="140"/>
      <c r="F46" s="140"/>
      <c r="G46" s="140"/>
      <c r="H46" s="140"/>
      <c r="I46" s="140"/>
      <c r="J46" s="140"/>
      <c r="K46" s="140"/>
    </row>
    <row r="47" spans="2:15" x14ac:dyDescent="0.3">
      <c r="E47" s="140"/>
      <c r="F47" s="140"/>
      <c r="G47" s="140"/>
      <c r="H47" s="140"/>
      <c r="I47" s="140"/>
      <c r="J47" s="140"/>
      <c r="K47" s="140"/>
    </row>
    <row r="48" spans="2:15" x14ac:dyDescent="0.3">
      <c r="E48" s="140"/>
      <c r="F48" s="140"/>
      <c r="G48" s="140"/>
      <c r="H48" s="140"/>
      <c r="I48" s="140"/>
      <c r="J48" s="140"/>
      <c r="K48" s="140"/>
    </row>
    <row r="49" spans="5:11" x14ac:dyDescent="0.3">
      <c r="E49" s="140"/>
      <c r="F49" s="140"/>
      <c r="G49" s="140"/>
      <c r="H49" s="140"/>
      <c r="I49" s="140"/>
      <c r="J49" s="140"/>
      <c r="K49" s="140"/>
    </row>
    <row r="50" spans="5:11" x14ac:dyDescent="0.3">
      <c r="E50" s="140"/>
      <c r="F50" s="140"/>
      <c r="G50" s="140"/>
      <c r="H50" s="140"/>
      <c r="I50" s="140"/>
      <c r="J50" s="140"/>
      <c r="K50" s="140"/>
    </row>
    <row r="51" spans="5:11" x14ac:dyDescent="0.3">
      <c r="E51" s="140"/>
      <c r="F51" s="140"/>
      <c r="G51" s="140"/>
      <c r="H51" s="140"/>
      <c r="I51" s="140"/>
      <c r="J51" s="140"/>
      <c r="K51" s="140"/>
    </row>
    <row r="52" spans="5:11" x14ac:dyDescent="0.3">
      <c r="E52" s="140"/>
      <c r="F52" s="140"/>
      <c r="G52" s="140"/>
      <c r="H52" s="140"/>
      <c r="I52" s="140"/>
      <c r="J52" s="140"/>
      <c r="K52" s="140"/>
    </row>
    <row r="53" spans="5:11" x14ac:dyDescent="0.3">
      <c r="E53" s="140"/>
      <c r="F53" s="140"/>
      <c r="G53" s="140"/>
      <c r="H53" s="140"/>
      <c r="I53" s="140"/>
      <c r="J53" s="140"/>
      <c r="K53" s="140"/>
    </row>
  </sheetData>
  <conditionalFormatting sqref="E4:K4">
    <cfRule type="expression" dxfId="50" priority="5">
      <formula>E4="CHECK"</formula>
    </cfRule>
  </conditionalFormatting>
  <conditionalFormatting sqref="P2">
    <cfRule type="cellIs" dxfId="47" priority="1" operator="notEqual">
      <formula>0</formula>
    </cfRule>
    <cfRule type="cellIs" dxfId="46" priority="2" operator="equal">
      <formula>0</formula>
    </cfRule>
  </conditionalFormatting>
  <pageMargins left="0.7" right="0.7" top="0.75" bottom="0.75" header="0.3" footer="0.3"/>
  <pageSetup paperSize="9" scale="82"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5BD9-84B3-4FF1-8E8B-C35B4D72918F}">
  <sheetPr>
    <pageSetUpPr fitToPage="1"/>
  </sheetPr>
  <dimension ref="B1:P53"/>
  <sheetViews>
    <sheetView showGridLines="0" zoomScale="90" zoomScaleNormal="90" workbookViewId="0">
      <pane ySplit="5" topLeftCell="A6" activePane="bottomLeft" state="frozen"/>
      <selection activeCell="A6" sqref="A6"/>
      <selection pane="bottomLeft" activeCell="A6" sqref="A6"/>
    </sheetView>
  </sheetViews>
  <sheetFormatPr defaultRowHeight="14.4" x14ac:dyDescent="0.3"/>
  <cols>
    <col min="1" max="1" width="2.21875" customWidth="1"/>
    <col min="2" max="2" width="33.77734375" customWidth="1"/>
    <col min="3" max="4" width="2.109375" customWidth="1"/>
    <col min="5" max="5" width="2.88671875" customWidth="1"/>
    <col min="6" max="11" width="8.88671875" customWidth="1"/>
  </cols>
  <sheetData>
    <row r="1" spans="2:16" x14ac:dyDescent="0.3">
      <c r="K1" s="13" t="s">
        <v>33</v>
      </c>
    </row>
    <row r="2" spans="2:16" ht="15.6" x14ac:dyDescent="0.3">
      <c r="B2" s="12" t="s">
        <v>92</v>
      </c>
      <c r="N2" s="26" t="s">
        <v>375</v>
      </c>
      <c r="O2" s="26"/>
      <c r="P2" s="200">
        <f>ErrorChecks!$B$5</f>
        <v>0</v>
      </c>
    </row>
    <row r="4" spans="2:16" s="9" customFormat="1" ht="12" x14ac:dyDescent="0.25">
      <c r="B4" s="11" t="s">
        <v>19</v>
      </c>
      <c r="C4" s="11"/>
      <c r="D4" s="11"/>
      <c r="E4" s="89"/>
      <c r="F4" s="89" t="str">
        <f>IF(F44=0,"OK","NOT OK")</f>
        <v>OK</v>
      </c>
      <c r="G4" s="89" t="str">
        <f t="shared" ref="G4:K4" si="0">IF(G44=0,"OK","NOT OK")</f>
        <v>OK</v>
      </c>
      <c r="H4" s="89" t="str">
        <f t="shared" si="0"/>
        <v>OK</v>
      </c>
      <c r="I4" s="89" t="str">
        <f t="shared" si="0"/>
        <v>OK</v>
      </c>
      <c r="J4" s="89" t="str">
        <f t="shared" si="0"/>
        <v>OK</v>
      </c>
      <c r="K4" s="89" t="str">
        <f t="shared" si="0"/>
        <v>OK</v>
      </c>
    </row>
    <row r="5" spans="2:16" s="44" customFormat="1" ht="13.8" x14ac:dyDescent="0.3">
      <c r="B5" s="131" t="s">
        <v>92</v>
      </c>
      <c r="C5" s="132"/>
      <c r="D5" s="131"/>
      <c r="E5" s="132"/>
      <c r="F5" s="132" t="str">
        <f>RR!F5</f>
        <v>R 2025</v>
      </c>
      <c r="G5" s="132" t="str">
        <f>RR!G5</f>
        <v>P 2026</v>
      </c>
      <c r="H5" s="132" t="str">
        <f>RR!H5</f>
        <v>P 2027</v>
      </c>
      <c r="I5" s="132" t="str">
        <f>RR!I5</f>
        <v>P 2028</v>
      </c>
      <c r="J5" s="132" t="str">
        <f>RR!J5</f>
        <v>P 2029</v>
      </c>
      <c r="K5" s="132" t="str">
        <f>RR!K5</f>
        <v>P 2030</v>
      </c>
    </row>
    <row r="6" spans="2:16" s="44" customFormat="1" ht="13.8" x14ac:dyDescent="0.3">
      <c r="F6" s="141"/>
      <c r="G6" s="141"/>
      <c r="H6" s="141"/>
      <c r="I6" s="141"/>
      <c r="J6" s="141"/>
      <c r="K6" s="141"/>
    </row>
    <row r="7" spans="2:16" s="46" customFormat="1" ht="13.8" x14ac:dyDescent="0.3">
      <c r="B7" s="46" t="str">
        <f>RR!B26</f>
        <v>Netto resultaat</v>
      </c>
      <c r="E7" s="47"/>
      <c r="F7" s="146">
        <f>RR!F26</f>
        <v>53</v>
      </c>
      <c r="G7" s="146">
        <f>RR!G26</f>
        <v>37.350904275000033</v>
      </c>
      <c r="H7" s="146">
        <f>RR!H26</f>
        <v>41.888643750000043</v>
      </c>
      <c r="I7" s="146">
        <f>RR!I26</f>
        <v>27.512259750000002</v>
      </c>
      <c r="J7" s="146">
        <f>RR!J26</f>
        <v>66.612569932499895</v>
      </c>
      <c r="K7" s="146">
        <f>RR!K26</f>
        <v>30.807995789549921</v>
      </c>
    </row>
    <row r="8" spans="2:16" s="44" customFormat="1" ht="13.8" x14ac:dyDescent="0.3">
      <c r="F8" s="141"/>
      <c r="G8" s="141"/>
      <c r="H8" s="141"/>
      <c r="I8" s="141"/>
      <c r="J8" s="141"/>
      <c r="K8" s="141"/>
    </row>
    <row r="9" spans="2:16" s="44" customFormat="1" ht="13.8" x14ac:dyDescent="0.3">
      <c r="B9" s="52" t="s">
        <v>93</v>
      </c>
      <c r="F9" s="141"/>
      <c r="G9" s="141"/>
      <c r="H9" s="141"/>
      <c r="I9" s="141"/>
      <c r="J9" s="141"/>
      <c r="K9" s="141"/>
    </row>
    <row r="10" spans="2:16" s="44" customFormat="1" ht="13.8" x14ac:dyDescent="0.3">
      <c r="B10" s="112" t="s">
        <v>4</v>
      </c>
      <c r="E10" s="45"/>
      <c r="F10" s="141">
        <f>-RR!F12</f>
        <v>11</v>
      </c>
      <c r="G10" s="141">
        <f>-RR!G12</f>
        <v>19.903794300000001</v>
      </c>
      <c r="H10" s="141">
        <f>-RR!H12</f>
        <v>23</v>
      </c>
      <c r="I10" s="141">
        <f>-RR!I12</f>
        <v>37</v>
      </c>
      <c r="J10" s="141">
        <f>-RR!J12</f>
        <v>40</v>
      </c>
      <c r="K10" s="141">
        <f>-RR!K12</f>
        <v>40</v>
      </c>
    </row>
    <row r="11" spans="2:16" s="44" customFormat="1" ht="13.8" x14ac:dyDescent="0.3">
      <c r="B11" s="112" t="s">
        <v>202</v>
      </c>
      <c r="E11" s="45"/>
      <c r="F11" s="141">
        <f>'3. Prognose BS'!F58</f>
        <v>10</v>
      </c>
      <c r="G11" s="141">
        <f>'3. Prognose BS'!G58</f>
        <v>30</v>
      </c>
      <c r="H11" s="141">
        <f>'3. Prognose BS'!H58</f>
        <v>0</v>
      </c>
      <c r="I11" s="141">
        <f>'3. Prognose BS'!I58</f>
        <v>0</v>
      </c>
      <c r="J11" s="141">
        <f>'3. Prognose BS'!J58</f>
        <v>0</v>
      </c>
      <c r="K11" s="141">
        <f>'3. Prognose BS'!K58</f>
        <v>0</v>
      </c>
    </row>
    <row r="12" spans="2:16" s="44" customFormat="1" ht="13.8" x14ac:dyDescent="0.3">
      <c r="B12" s="112" t="s">
        <v>203</v>
      </c>
      <c r="E12" s="45"/>
      <c r="F12" s="141">
        <f>'3. Prognose BS'!F60</f>
        <v>0</v>
      </c>
      <c r="G12" s="141">
        <f>'3. Prognose BS'!G60</f>
        <v>0</v>
      </c>
      <c r="H12" s="141">
        <f>'3. Prognose BS'!H60</f>
        <v>-20</v>
      </c>
      <c r="I12" s="141">
        <f>'3. Prognose BS'!I60</f>
        <v>0</v>
      </c>
      <c r="J12" s="141">
        <f>'3. Prognose BS'!J60</f>
        <v>0</v>
      </c>
      <c r="K12" s="141">
        <f>'3. Prognose BS'!K60</f>
        <v>0</v>
      </c>
    </row>
    <row r="13" spans="2:16" s="44" customFormat="1" ht="13.8" x14ac:dyDescent="0.3">
      <c r="B13" s="112" t="str">
        <f>RR!B20</f>
        <v>Verkoopresultaat vaste activa</v>
      </c>
      <c r="E13" s="45"/>
      <c r="F13" s="141">
        <f>-RR!F20</f>
        <v>-14</v>
      </c>
      <c r="G13" s="141">
        <f>-RR!G20</f>
        <v>0</v>
      </c>
      <c r="H13" s="141">
        <f>-RR!H20</f>
        <v>-4</v>
      </c>
      <c r="I13" s="141">
        <f>-RR!I20</f>
        <v>6</v>
      </c>
      <c r="J13" s="141">
        <f>-RR!J20</f>
        <v>0</v>
      </c>
      <c r="K13" s="141">
        <f>-RR!K20</f>
        <v>0</v>
      </c>
    </row>
    <row r="14" spans="2:16" s="52" customFormat="1" ht="13.8" x14ac:dyDescent="0.3">
      <c r="B14" s="117" t="s">
        <v>209</v>
      </c>
      <c r="E14" s="88"/>
      <c r="F14" s="149">
        <f>SUM(F7:F13)</f>
        <v>60</v>
      </c>
      <c r="G14" s="149">
        <f t="shared" ref="G14:K14" si="1">SUM(G7:G13)</f>
        <v>87.254698575000035</v>
      </c>
      <c r="H14" s="149">
        <f t="shared" si="1"/>
        <v>40.888643750000043</v>
      </c>
      <c r="I14" s="149">
        <f t="shared" si="1"/>
        <v>70.512259749999998</v>
      </c>
      <c r="J14" s="149">
        <f t="shared" si="1"/>
        <v>106.61256993249989</v>
      </c>
      <c r="K14" s="149">
        <f t="shared" si="1"/>
        <v>70.807995789549921</v>
      </c>
    </row>
    <row r="15" spans="2:16" s="44" customFormat="1" ht="13.8" x14ac:dyDescent="0.3">
      <c r="F15" s="141"/>
      <c r="G15" s="141"/>
      <c r="H15" s="141"/>
      <c r="I15" s="141"/>
      <c r="J15" s="141"/>
      <c r="K15" s="141"/>
    </row>
    <row r="16" spans="2:16" s="44" customFormat="1" ht="13.8" x14ac:dyDescent="0.3">
      <c r="B16" s="52" t="s">
        <v>94</v>
      </c>
      <c r="F16" s="141"/>
      <c r="G16" s="141"/>
      <c r="H16" s="141"/>
      <c r="I16" s="141"/>
      <c r="J16" s="141"/>
      <c r="K16" s="141"/>
    </row>
    <row r="17" spans="2:13" s="44" customFormat="1" ht="13.8" x14ac:dyDescent="0.3">
      <c r="B17" s="112" t="str">
        <f>Balans!B10</f>
        <v>Voorraden</v>
      </c>
      <c r="F17" s="141">
        <f>Balans!E10-Balans!F10</f>
        <v>15</v>
      </c>
      <c r="G17" s="141">
        <f>Balans!F10-Balans!G10</f>
        <v>-0.26986301369862886</v>
      </c>
      <c r="H17" s="141">
        <f>Balans!G10-Balans!H10</f>
        <v>-1.0783356164383573</v>
      </c>
      <c r="I17" s="141">
        <f>Balans!H10-Balans!I10</f>
        <v>-1.117361095890411</v>
      </c>
      <c r="J17" s="141">
        <f>Balans!I10-Balans!J10</f>
        <v>-1.1575162602739724</v>
      </c>
      <c r="K17" s="141">
        <f>Balans!J10-Balans!K10</f>
        <v>-0.27246151972602739</v>
      </c>
    </row>
    <row r="18" spans="2:13" s="44" customFormat="1" ht="13.8" x14ac:dyDescent="0.3">
      <c r="B18" s="112" t="str">
        <f>Balans!B11</f>
        <v>Debiteuren</v>
      </c>
      <c r="F18" s="141">
        <f>Balans!E11-Balans!F11</f>
        <v>-1</v>
      </c>
      <c r="G18" s="141">
        <f>Balans!F11-Balans!G11</f>
        <v>16.986301369863014</v>
      </c>
      <c r="H18" s="141">
        <f>Balans!G11-Balans!H11</f>
        <v>-4.6214383561643828</v>
      </c>
      <c r="I18" s="141">
        <f>Balans!H11-Balans!I11</f>
        <v>-4.7886904109589068</v>
      </c>
      <c r="J18" s="141">
        <f>Balans!I11-Balans!J11</f>
        <v>-4.9607839726027407</v>
      </c>
      <c r="K18" s="141">
        <f>Balans!J11-Balans!K11</f>
        <v>-1.1676922273972608</v>
      </c>
    </row>
    <row r="19" spans="2:13" s="44" customFormat="1" ht="13.8" x14ac:dyDescent="0.3">
      <c r="B19" s="112" t="str">
        <f>Balans!B12</f>
        <v>Overige kortlopende activa</v>
      </c>
      <c r="F19" s="141">
        <f>Balans!E12-Balans!F12</f>
        <v>-1</v>
      </c>
      <c r="G19" s="141">
        <f>Balans!F12-Balans!G12</f>
        <v>2.7869999999999999</v>
      </c>
      <c r="H19" s="141">
        <f>Balans!G12-Balans!H12</f>
        <v>-0.33736499999999969</v>
      </c>
      <c r="I19" s="141">
        <f>Balans!H12-Balans!I12</f>
        <v>-0.34957440000000073</v>
      </c>
      <c r="J19" s="141">
        <f>Balans!I12-Balans!J12</f>
        <v>-0.36213722999999964</v>
      </c>
      <c r="K19" s="141">
        <f>Balans!J12-Balans!K12</f>
        <v>-8.5241532599999559E-2</v>
      </c>
    </row>
    <row r="20" spans="2:13" s="44" customFormat="1" ht="13.8" x14ac:dyDescent="0.3">
      <c r="B20" s="112" t="str">
        <f>Balans!B26</f>
        <v>Crediteuren</v>
      </c>
      <c r="F20" s="141">
        <f>Balans!F26-Balans!E26</f>
        <v>5</v>
      </c>
      <c r="G20" s="141">
        <f>Balans!G26-Balans!F26</f>
        <v>-22.835958904109589</v>
      </c>
      <c r="H20" s="141">
        <f>Balans!H26-Balans!G26</f>
        <v>0.72386815068493249</v>
      </c>
      <c r="I20" s="141">
        <f>Balans!I26-Balans!H26</f>
        <v>0.74395726027396947</v>
      </c>
      <c r="J20" s="141">
        <f>Balans!J26-Balans!I26</f>
        <v>0.7645603869863038</v>
      </c>
      <c r="K20" s="141">
        <f>Balans!K26-Balans!J26</f>
        <v>0.4879285378767122</v>
      </c>
    </row>
    <row r="21" spans="2:13" s="44" customFormat="1" ht="13.8" x14ac:dyDescent="0.3">
      <c r="B21" s="112" t="str">
        <f>Balans!B27</f>
        <v>Overige kortlopende passiva</v>
      </c>
      <c r="F21" s="141">
        <f>Balans!F27-Balans!E27</f>
        <v>-5</v>
      </c>
      <c r="G21" s="141">
        <f>Balans!G27-Balans!F27</f>
        <v>-8.9350000000000023</v>
      </c>
      <c r="H21" s="141">
        <f>Balans!H27-Balans!G27</f>
        <v>1.6868249999999989</v>
      </c>
      <c r="I21" s="141">
        <f>Balans!I27-Balans!H27</f>
        <v>1.7478720000000045</v>
      </c>
      <c r="J21" s="141">
        <f>Balans!J27-Balans!I27</f>
        <v>1.8106861499999987</v>
      </c>
      <c r="K21" s="141">
        <f>Balans!K27-Balans!J27</f>
        <v>0.42620766299999957</v>
      </c>
    </row>
    <row r="22" spans="2:13" s="52" customFormat="1" ht="13.8" x14ac:dyDescent="0.3">
      <c r="B22" s="117" t="s">
        <v>95</v>
      </c>
      <c r="F22" s="149">
        <f>SUM(F17:F21)</f>
        <v>13</v>
      </c>
      <c r="G22" s="149">
        <f t="shared" ref="G22:K22" si="2">SUM(G17:G21)</f>
        <v>-12.267520547945207</v>
      </c>
      <c r="H22" s="149">
        <f t="shared" si="2"/>
        <v>-3.6264458219178088</v>
      </c>
      <c r="I22" s="149">
        <f t="shared" si="2"/>
        <v>-3.7637966465753445</v>
      </c>
      <c r="J22" s="149">
        <f t="shared" si="2"/>
        <v>-3.9051909258904107</v>
      </c>
      <c r="K22" s="149">
        <f t="shared" si="2"/>
        <v>-0.61125907884657593</v>
      </c>
      <c r="M22" s="44" t="s">
        <v>214</v>
      </c>
    </row>
    <row r="23" spans="2:13" s="44" customFormat="1" ht="13.8" x14ac:dyDescent="0.3">
      <c r="F23" s="141"/>
      <c r="G23" s="141"/>
      <c r="H23" s="141"/>
      <c r="I23" s="141"/>
      <c r="J23" s="141"/>
      <c r="K23" s="141"/>
    </row>
    <row r="24" spans="2:13" s="44" customFormat="1" ht="13.8" x14ac:dyDescent="0.3">
      <c r="B24" s="44" t="s">
        <v>204</v>
      </c>
      <c r="F24" s="141">
        <f>'3. Prognose BS'!F59</f>
        <v>-60</v>
      </c>
      <c r="G24" s="141">
        <f>'3. Prognose BS'!G59</f>
        <v>-10</v>
      </c>
      <c r="H24" s="141">
        <f>'3. Prognose BS'!H59</f>
        <v>0</v>
      </c>
      <c r="I24" s="141">
        <f>'3. Prognose BS'!I59</f>
        <v>0</v>
      </c>
      <c r="J24" s="141">
        <f>'3. Prognose BS'!J59</f>
        <v>0</v>
      </c>
      <c r="K24" s="141">
        <f>'3. Prognose BS'!K59</f>
        <v>0</v>
      </c>
    </row>
    <row r="25" spans="2:13" s="46" customFormat="1" ht="13.8" x14ac:dyDescent="0.3">
      <c r="B25" s="46" t="s">
        <v>96</v>
      </c>
      <c r="F25" s="145">
        <f t="shared" ref="F25:K25" si="3">F14+F22+F24</f>
        <v>13</v>
      </c>
      <c r="G25" s="145">
        <f t="shared" si="3"/>
        <v>64.987178027054824</v>
      </c>
      <c r="H25" s="145">
        <f t="shared" si="3"/>
        <v>37.26219792808223</v>
      </c>
      <c r="I25" s="145">
        <f t="shared" si="3"/>
        <v>66.748463103424655</v>
      </c>
      <c r="J25" s="145">
        <f t="shared" si="3"/>
        <v>102.70737900660949</v>
      </c>
      <c r="K25" s="145">
        <f t="shared" si="3"/>
        <v>70.196736710703348</v>
      </c>
    </row>
    <row r="26" spans="2:13" s="44" customFormat="1" ht="13.8" x14ac:dyDescent="0.3">
      <c r="F26" s="141"/>
      <c r="G26" s="141"/>
      <c r="H26" s="141"/>
      <c r="I26" s="141"/>
      <c r="J26" s="141"/>
      <c r="K26" s="141"/>
    </row>
    <row r="27" spans="2:13" s="44" customFormat="1" ht="13.8" x14ac:dyDescent="0.3">
      <c r="B27" s="44" t="s">
        <v>199</v>
      </c>
      <c r="E27" s="45"/>
      <c r="F27" s="141">
        <f>-'3. Prognose BS'!F23</f>
        <v>-36</v>
      </c>
      <c r="G27" s="141">
        <f>-'3. Prognose BS'!G23</f>
        <v>-40</v>
      </c>
      <c r="H27" s="141">
        <f>-'3. Prognose BS'!H23</f>
        <v>-40</v>
      </c>
      <c r="I27" s="141">
        <f>-'3. Prognose BS'!I23</f>
        <v>-200</v>
      </c>
      <c r="J27" s="141">
        <f>-'3. Prognose BS'!J23</f>
        <v>-40</v>
      </c>
      <c r="K27" s="141">
        <f>-'3. Prognose BS'!K23</f>
        <v>-40</v>
      </c>
    </row>
    <row r="28" spans="2:13" s="44" customFormat="1" ht="13.8" x14ac:dyDescent="0.3">
      <c r="B28" s="44" t="s">
        <v>97</v>
      </c>
      <c r="E28" s="45"/>
      <c r="F28" s="141">
        <f>'3. Prognose BS'!F30</f>
        <v>19</v>
      </c>
      <c r="G28" s="141">
        <f>'3. Prognose BS'!G30</f>
        <v>0</v>
      </c>
      <c r="H28" s="141">
        <f>'3. Prognose BS'!H30</f>
        <v>14</v>
      </c>
      <c r="I28" s="141">
        <f>'3. Prognose BS'!I30</f>
        <v>44</v>
      </c>
      <c r="J28" s="141">
        <f>'3. Prognose BS'!J30</f>
        <v>0</v>
      </c>
      <c r="K28" s="141">
        <f>'3. Prognose BS'!K30</f>
        <v>0</v>
      </c>
      <c r="M28" s="45"/>
    </row>
    <row r="29" spans="2:13" s="46" customFormat="1" ht="13.8" x14ac:dyDescent="0.3">
      <c r="B29" s="46" t="s">
        <v>98</v>
      </c>
      <c r="E29" s="47"/>
      <c r="F29" s="145">
        <f>SUM(F27:F28)</f>
        <v>-17</v>
      </c>
      <c r="G29" s="145">
        <f t="shared" ref="G29:K29" si="4">SUM(G27:G28)</f>
        <v>-40</v>
      </c>
      <c r="H29" s="145">
        <f t="shared" si="4"/>
        <v>-26</v>
      </c>
      <c r="I29" s="145">
        <f t="shared" si="4"/>
        <v>-156</v>
      </c>
      <c r="J29" s="145">
        <f t="shared" si="4"/>
        <v>-40</v>
      </c>
      <c r="K29" s="145">
        <f t="shared" si="4"/>
        <v>-40</v>
      </c>
    </row>
    <row r="30" spans="2:13" s="44" customFormat="1" ht="13.8" x14ac:dyDescent="0.3">
      <c r="F30" s="141"/>
      <c r="G30" s="141"/>
      <c r="H30" s="141"/>
      <c r="I30" s="141"/>
      <c r="J30" s="141"/>
      <c r="K30" s="141"/>
    </row>
    <row r="31" spans="2:13" s="44" customFormat="1" ht="13.8" x14ac:dyDescent="0.3">
      <c r="B31" s="44" t="s">
        <v>99</v>
      </c>
      <c r="F31" s="141">
        <f>-'3. Prognose BS'!F99</f>
        <v>-10</v>
      </c>
      <c r="G31" s="141">
        <f>-'3. Prognose BS'!G99</f>
        <v>-30</v>
      </c>
      <c r="H31" s="141">
        <f>-'3. Prognose BS'!H99</f>
        <v>-20</v>
      </c>
      <c r="I31" s="141">
        <f>-'3. Prognose BS'!I99</f>
        <v>-40</v>
      </c>
      <c r="J31" s="141">
        <f>-'3. Prognose BS'!J99</f>
        <v>-40</v>
      </c>
      <c r="K31" s="141">
        <f>-'3. Prognose BS'!K99</f>
        <v>-30</v>
      </c>
    </row>
    <row r="32" spans="2:13" s="44" customFormat="1" ht="13.8" x14ac:dyDescent="0.3">
      <c r="B32" s="44" t="s">
        <v>101</v>
      </c>
      <c r="F32" s="141">
        <f>'3. Prognose BS'!F92</f>
        <v>0</v>
      </c>
      <c r="G32" s="141">
        <f>'3. Prognose BS'!G92</f>
        <v>10</v>
      </c>
      <c r="H32" s="141">
        <f>'3. Prognose BS'!H92</f>
        <v>100</v>
      </c>
      <c r="I32" s="141">
        <f>'3. Prognose BS'!I92</f>
        <v>0</v>
      </c>
      <c r="J32" s="141">
        <f>'3. Prognose BS'!J92</f>
        <v>20</v>
      </c>
      <c r="K32" s="141">
        <f>'3. Prognose BS'!K92</f>
        <v>0</v>
      </c>
    </row>
    <row r="33" spans="2:11" s="44" customFormat="1" ht="13.8" x14ac:dyDescent="0.3">
      <c r="B33" s="44" t="s">
        <v>102</v>
      </c>
      <c r="F33" s="141">
        <f>Balans!F25-Balans!E25</f>
        <v>0</v>
      </c>
      <c r="G33" s="141">
        <f>Balans!G25-Balans!F25</f>
        <v>-4</v>
      </c>
      <c r="H33" s="141">
        <f>Balans!H25-Balans!G25</f>
        <v>50</v>
      </c>
      <c r="I33" s="141">
        <f>Balans!I25-Balans!H25</f>
        <v>-25</v>
      </c>
      <c r="J33" s="141">
        <f>Balans!J25-Balans!I25</f>
        <v>-25</v>
      </c>
      <c r="K33" s="141">
        <f>Balans!K25-Balans!J25</f>
        <v>0</v>
      </c>
    </row>
    <row r="34" spans="2:11" s="44" customFormat="1" ht="13.8" x14ac:dyDescent="0.3">
      <c r="B34" s="44" t="str">
        <f>RR!B28</f>
        <v>Dividend uitkering</v>
      </c>
      <c r="F34" s="141">
        <f>-RR!F28</f>
        <v>-11</v>
      </c>
      <c r="G34" s="141">
        <f>-RR!G28</f>
        <v>-10</v>
      </c>
      <c r="H34" s="141">
        <f>-RR!H28</f>
        <v>-10</v>
      </c>
      <c r="I34" s="141">
        <f>-RR!I28</f>
        <v>-15</v>
      </c>
      <c r="J34" s="141">
        <f>-RR!J28</f>
        <v>-20</v>
      </c>
      <c r="K34" s="141">
        <f>-RR!K28</f>
        <v>-20</v>
      </c>
    </row>
    <row r="35" spans="2:11" s="46" customFormat="1" ht="13.8" x14ac:dyDescent="0.3">
      <c r="B35" s="46" t="s">
        <v>103</v>
      </c>
      <c r="F35" s="145">
        <f>SUM(F31:F34)</f>
        <v>-21</v>
      </c>
      <c r="G35" s="145">
        <f t="shared" ref="G35:K35" si="5">SUM(G31:G34)</f>
        <v>-34</v>
      </c>
      <c r="H35" s="145">
        <f t="shared" si="5"/>
        <v>120</v>
      </c>
      <c r="I35" s="145">
        <f t="shared" si="5"/>
        <v>-80</v>
      </c>
      <c r="J35" s="145">
        <f t="shared" si="5"/>
        <v>-65</v>
      </c>
      <c r="K35" s="145">
        <f t="shared" si="5"/>
        <v>-50</v>
      </c>
    </row>
    <row r="36" spans="2:11" s="44" customFormat="1" ht="13.8" x14ac:dyDescent="0.3">
      <c r="F36" s="141"/>
      <c r="G36" s="141"/>
      <c r="H36" s="141"/>
      <c r="I36" s="141"/>
      <c r="J36" s="141"/>
      <c r="K36" s="141"/>
    </row>
    <row r="37" spans="2:11" s="46" customFormat="1" thickBot="1" x14ac:dyDescent="0.35">
      <c r="B37" s="46" t="s">
        <v>104</v>
      </c>
      <c r="F37" s="147">
        <f>F25+F29+F35</f>
        <v>-25</v>
      </c>
      <c r="G37" s="147">
        <f t="shared" ref="G37:K37" si="6">G25+G29+G35</f>
        <v>-9.0128219729451757</v>
      </c>
      <c r="H37" s="147">
        <f t="shared" si="6"/>
        <v>131.26219792808223</v>
      </c>
      <c r="I37" s="147">
        <f t="shared" si="6"/>
        <v>-169.25153689657535</v>
      </c>
      <c r="J37" s="147">
        <f t="shared" si="6"/>
        <v>-2.2926209933905142</v>
      </c>
      <c r="K37" s="147">
        <f t="shared" si="6"/>
        <v>-19.803263289296652</v>
      </c>
    </row>
    <row r="38" spans="2:11" s="44" customFormat="1" thickTop="1" x14ac:dyDescent="0.3">
      <c r="F38" s="141"/>
      <c r="G38" s="141"/>
      <c r="H38" s="141"/>
      <c r="I38" s="141"/>
      <c r="J38" s="141"/>
      <c r="K38" s="141"/>
    </row>
    <row r="39" spans="2:11" s="44" customFormat="1" ht="13.8" x14ac:dyDescent="0.3">
      <c r="B39" s="44" t="s">
        <v>105</v>
      </c>
      <c r="F39" s="141">
        <f>Balans!E13</f>
        <v>104</v>
      </c>
      <c r="G39" s="141">
        <f>Balans!F13</f>
        <v>79</v>
      </c>
      <c r="H39" s="141">
        <f>Balans!G13</f>
        <v>69.987178027054881</v>
      </c>
      <c r="I39" s="141">
        <f>Balans!H13</f>
        <v>201.249375955137</v>
      </c>
      <c r="J39" s="141">
        <f>Balans!I13</f>
        <v>31.997839058561681</v>
      </c>
      <c r="K39" s="141">
        <f>Balans!J13</f>
        <v>29.705218065171096</v>
      </c>
    </row>
    <row r="40" spans="2:11" s="44" customFormat="1" ht="13.8" x14ac:dyDescent="0.3">
      <c r="B40" s="44" t="str">
        <f>B37</f>
        <v>Totale kasstroom</v>
      </c>
      <c r="F40" s="141">
        <f>F37</f>
        <v>-25</v>
      </c>
      <c r="G40" s="141">
        <f t="shared" ref="G40:K40" si="7">G37</f>
        <v>-9.0128219729451757</v>
      </c>
      <c r="H40" s="141">
        <f t="shared" si="7"/>
        <v>131.26219792808223</v>
      </c>
      <c r="I40" s="141">
        <f t="shared" si="7"/>
        <v>-169.25153689657535</v>
      </c>
      <c r="J40" s="141">
        <f t="shared" si="7"/>
        <v>-2.2926209933905142</v>
      </c>
      <c r="K40" s="141">
        <f t="shared" si="7"/>
        <v>-19.803263289296652</v>
      </c>
    </row>
    <row r="41" spans="2:11" s="46" customFormat="1" ht="13.8" x14ac:dyDescent="0.3">
      <c r="B41" s="46" t="s">
        <v>106</v>
      </c>
      <c r="F41" s="146">
        <f>SUM(F39:F40)</f>
        <v>79</v>
      </c>
      <c r="G41" s="146">
        <f t="shared" ref="G41:K41" si="8">SUM(G39:G40)</f>
        <v>69.987178027054824</v>
      </c>
      <c r="H41" s="146">
        <f t="shared" si="8"/>
        <v>201.24937595513711</v>
      </c>
      <c r="I41" s="146">
        <f t="shared" si="8"/>
        <v>31.997839058561652</v>
      </c>
      <c r="J41" s="146">
        <f t="shared" si="8"/>
        <v>29.705218065171167</v>
      </c>
      <c r="K41" s="146">
        <f t="shared" si="8"/>
        <v>9.9019547758744437</v>
      </c>
    </row>
    <row r="42" spans="2:11" s="44" customFormat="1" ht="13.8" x14ac:dyDescent="0.3">
      <c r="F42" s="141"/>
      <c r="G42" s="141"/>
      <c r="H42" s="141"/>
      <c r="I42" s="141"/>
      <c r="J42" s="141"/>
      <c r="K42" s="141"/>
    </row>
    <row r="43" spans="2:11" s="56" customFormat="1" ht="13.8" x14ac:dyDescent="0.3">
      <c r="B43" s="56" t="s">
        <v>107</v>
      </c>
      <c r="F43" s="142">
        <f>Balans!F13</f>
        <v>79</v>
      </c>
      <c r="G43" s="142">
        <f>Balans!G13</f>
        <v>69.987178027054881</v>
      </c>
      <c r="H43" s="142">
        <f>Balans!H13</f>
        <v>201.249375955137</v>
      </c>
      <c r="I43" s="142">
        <f>Balans!I13</f>
        <v>31.997839058561681</v>
      </c>
      <c r="J43" s="142">
        <f>Balans!J13</f>
        <v>29.705218065171096</v>
      </c>
      <c r="K43" s="142">
        <f>Balans!K13</f>
        <v>9.9019547758746285</v>
      </c>
    </row>
    <row r="44" spans="2:11" s="56" customFormat="1" ht="13.8" x14ac:dyDescent="0.3">
      <c r="B44" s="56" t="s">
        <v>18</v>
      </c>
      <c r="F44" s="142">
        <f>ROUND(F41,4)-ROUND(F43,4)</f>
        <v>0</v>
      </c>
      <c r="G44" s="142">
        <f t="shared" ref="G44:K44" si="9">ROUND(G41,4)-ROUND(G43,4)</f>
        <v>0</v>
      </c>
      <c r="H44" s="142">
        <f t="shared" si="9"/>
        <v>0</v>
      </c>
      <c r="I44" s="142">
        <f t="shared" si="9"/>
        <v>0</v>
      </c>
      <c r="J44" s="142">
        <f t="shared" si="9"/>
        <v>0</v>
      </c>
      <c r="K44" s="142">
        <f t="shared" si="9"/>
        <v>0</v>
      </c>
    </row>
    <row r="45" spans="2:11" s="44" customFormat="1" ht="13.8" x14ac:dyDescent="0.3">
      <c r="F45" s="141"/>
      <c r="G45" s="141"/>
      <c r="H45" s="141"/>
      <c r="I45" s="141"/>
      <c r="J45" s="141"/>
      <c r="K45" s="141"/>
    </row>
    <row r="46" spans="2:11" s="44" customFormat="1" ht="13.8" x14ac:dyDescent="0.3">
      <c r="F46" s="141"/>
      <c r="G46" s="141"/>
      <c r="H46" s="141"/>
      <c r="I46" s="141"/>
      <c r="J46" s="141"/>
      <c r="K46" s="141"/>
    </row>
    <row r="47" spans="2:11" x14ac:dyDescent="0.3">
      <c r="F47" s="140"/>
      <c r="G47" s="140"/>
      <c r="H47" s="140"/>
      <c r="I47" s="140"/>
      <c r="J47" s="140"/>
      <c r="K47" s="140"/>
    </row>
    <row r="48" spans="2:11" x14ac:dyDescent="0.3">
      <c r="F48" s="140"/>
      <c r="G48" s="140"/>
      <c r="H48" s="140"/>
      <c r="I48" s="140"/>
      <c r="J48" s="140"/>
      <c r="K48" s="140"/>
    </row>
    <row r="49" spans="6:11" x14ac:dyDescent="0.3">
      <c r="F49" s="140"/>
      <c r="G49" s="140"/>
      <c r="H49" s="140"/>
      <c r="I49" s="140"/>
      <c r="J49" s="140"/>
      <c r="K49" s="140"/>
    </row>
    <row r="50" spans="6:11" x14ac:dyDescent="0.3">
      <c r="F50" s="140"/>
      <c r="G50" s="140"/>
      <c r="H50" s="140"/>
      <c r="I50" s="140"/>
      <c r="J50" s="140"/>
      <c r="K50" s="140"/>
    </row>
    <row r="51" spans="6:11" x14ac:dyDescent="0.3">
      <c r="F51" s="140"/>
      <c r="G51" s="140"/>
      <c r="H51" s="140"/>
      <c r="I51" s="140"/>
      <c r="J51" s="140"/>
      <c r="K51" s="140"/>
    </row>
    <row r="52" spans="6:11" x14ac:dyDescent="0.3">
      <c r="F52" s="140"/>
      <c r="G52" s="140"/>
      <c r="H52" s="140"/>
      <c r="I52" s="140"/>
      <c r="J52" s="140"/>
      <c r="K52" s="140"/>
    </row>
    <row r="53" spans="6:11" x14ac:dyDescent="0.3">
      <c r="F53" s="140"/>
      <c r="G53" s="140"/>
      <c r="H53" s="140"/>
      <c r="I53" s="140"/>
      <c r="J53" s="140"/>
      <c r="K53" s="140"/>
    </row>
  </sheetData>
  <conditionalFormatting sqref="E4:K4">
    <cfRule type="expression" dxfId="45" priority="5">
      <formula>E4="CHECK"</formula>
    </cfRule>
  </conditionalFormatting>
  <conditionalFormatting sqref="F44:K44">
    <cfRule type="expression" dxfId="44" priority="6">
      <formula>F44&lt;&gt;0</formula>
    </cfRule>
  </conditionalFormatting>
  <conditionalFormatting sqref="P2">
    <cfRule type="cellIs" dxfId="41" priority="1" operator="notEqual">
      <formula>0</formula>
    </cfRule>
    <cfRule type="cellIs" dxfId="40" priority="2" operator="equal">
      <formula>0</formula>
    </cfRule>
  </conditionalFormatting>
  <pageMargins left="0.7" right="0.7" top="0.75" bottom="0.75" header="0.3" footer="0.3"/>
  <pageSetup paperSize="9" scale="85"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21D72-DEC5-4B9B-8A58-B65ADECBA315}">
  <sheetPr>
    <pageSetUpPr fitToPage="1"/>
  </sheetPr>
  <dimension ref="B1:P84"/>
  <sheetViews>
    <sheetView showGridLines="0" zoomScale="90" zoomScaleNormal="90" workbookViewId="0">
      <pane ySplit="5" topLeftCell="A6" activePane="bottomLeft" state="frozen"/>
      <selection activeCell="A6" sqref="A6"/>
      <selection pane="bottomLeft" activeCell="A6" sqref="A6"/>
    </sheetView>
  </sheetViews>
  <sheetFormatPr defaultRowHeight="14.4" outlineLevelRow="1" x14ac:dyDescent="0.3"/>
  <cols>
    <col min="1" max="1" width="2.21875" customWidth="1"/>
    <col min="2" max="2" width="30.5546875" customWidth="1"/>
    <col min="3" max="3" width="3.5546875" customWidth="1"/>
    <col min="4" max="4" width="2.21875" customWidth="1"/>
    <col min="5" max="11" width="8.77734375" customWidth="1"/>
    <col min="12" max="15" width="8.88671875" style="4"/>
  </cols>
  <sheetData>
    <row r="1" spans="2:16" x14ac:dyDescent="0.3">
      <c r="K1" s="13" t="s">
        <v>33</v>
      </c>
    </row>
    <row r="2" spans="2:16" ht="15.6" x14ac:dyDescent="0.3">
      <c r="B2" s="12" t="s">
        <v>111</v>
      </c>
      <c r="C2" s="9"/>
      <c r="D2" s="9"/>
      <c r="E2" s="10"/>
      <c r="N2" s="26" t="s">
        <v>375</v>
      </c>
      <c r="O2" s="26"/>
      <c r="P2" s="200">
        <f>ErrorChecks!$B$5</f>
        <v>0</v>
      </c>
    </row>
    <row r="4" spans="2:16" x14ac:dyDescent="0.3">
      <c r="B4" s="11" t="s">
        <v>355</v>
      </c>
      <c r="C4" s="3"/>
      <c r="D4" s="3"/>
    </row>
    <row r="5" spans="2:16" s="46" customFormat="1" ht="13.8" x14ac:dyDescent="0.3">
      <c r="B5" s="131" t="s">
        <v>111</v>
      </c>
      <c r="C5" s="132"/>
      <c r="D5" s="131"/>
      <c r="E5" s="132" t="str">
        <f>RR!E5</f>
        <v>R 2024</v>
      </c>
      <c r="F5" s="132" t="str">
        <f>RR!F5</f>
        <v>R 2025</v>
      </c>
      <c r="G5" s="132" t="str">
        <f>RR!G5</f>
        <v>P 2026</v>
      </c>
      <c r="H5" s="132" t="str">
        <f>RR!H5</f>
        <v>P 2027</v>
      </c>
      <c r="I5" s="132" t="str">
        <f>RR!I5</f>
        <v>P 2028</v>
      </c>
      <c r="J5" s="132" t="str">
        <f>RR!J5</f>
        <v>P 2029</v>
      </c>
      <c r="K5" s="132" t="str">
        <f>RR!K5</f>
        <v>P 2030</v>
      </c>
      <c r="L5" s="59"/>
      <c r="M5" s="59"/>
      <c r="N5" s="59"/>
      <c r="O5" s="59"/>
    </row>
    <row r="6" spans="2:16" s="44" customFormat="1" ht="13.8" outlineLevel="1" x14ac:dyDescent="0.3">
      <c r="E6" s="51"/>
      <c r="F6" s="51"/>
      <c r="G6" s="51"/>
      <c r="H6" s="51"/>
      <c r="I6" s="51"/>
      <c r="J6" s="51"/>
      <c r="K6" s="51"/>
    </row>
    <row r="7" spans="2:16" s="44" customFormat="1" ht="13.8" outlineLevel="1" x14ac:dyDescent="0.3">
      <c r="B7" s="119" t="s">
        <v>127</v>
      </c>
      <c r="E7" s="51"/>
      <c r="F7" s="51"/>
      <c r="G7" s="51"/>
      <c r="H7" s="51"/>
      <c r="I7" s="51"/>
      <c r="J7" s="51"/>
      <c r="K7" s="51"/>
    </row>
    <row r="8" spans="2:16" s="44" customFormat="1" ht="13.8" outlineLevel="1" x14ac:dyDescent="0.3">
      <c r="B8" s="112" t="s">
        <v>1</v>
      </c>
      <c r="E8" s="150">
        <f>RR!E9</f>
        <v>550</v>
      </c>
      <c r="F8" s="150">
        <f>RR!F9</f>
        <v>580</v>
      </c>
      <c r="G8" s="150">
        <f>RR!G9</f>
        <v>621.6</v>
      </c>
      <c r="H8" s="150">
        <f>RR!H9</f>
        <v>648.94949999999994</v>
      </c>
      <c r="I8" s="150">
        <f>RR!I9</f>
        <v>708.35634000000005</v>
      </c>
      <c r="J8" s="150">
        <f>RR!J9</f>
        <v>769.87987379999993</v>
      </c>
      <c r="K8" s="150">
        <f>RR!K9</f>
        <v>785.27747127600003</v>
      </c>
      <c r="L8" s="54"/>
      <c r="M8" s="54"/>
      <c r="N8" s="54"/>
      <c r="O8" s="54"/>
    </row>
    <row r="9" spans="2:16" s="44" customFormat="1" ht="13.8" outlineLevel="1" x14ac:dyDescent="0.3">
      <c r="B9" s="112" t="s">
        <v>256</v>
      </c>
      <c r="E9" s="91">
        <f>'2. Prognose RR'!E8</f>
        <v>1200</v>
      </c>
      <c r="F9" s="91">
        <f>'2. Prognose RR'!F8</f>
        <v>1200</v>
      </c>
      <c r="G9" s="91">
        <f>'2. Prognose RR'!G8</f>
        <v>1200</v>
      </c>
      <c r="H9" s="91">
        <f>'2. Prognose RR'!H8</f>
        <v>1300</v>
      </c>
      <c r="I9" s="91">
        <f>'2. Prognose RR'!I8</f>
        <v>1400</v>
      </c>
      <c r="J9" s="91">
        <f>'2. Prognose RR'!J8</f>
        <v>1500</v>
      </c>
      <c r="K9" s="91">
        <f>'2. Prognose RR'!K8</f>
        <v>1500</v>
      </c>
      <c r="L9" s="54"/>
      <c r="M9" s="54"/>
      <c r="N9" s="54"/>
      <c r="O9" s="54"/>
    </row>
    <row r="10" spans="2:16" s="44" customFormat="1" ht="13.8" outlineLevel="1" x14ac:dyDescent="0.3">
      <c r="B10" s="112" t="s">
        <v>354</v>
      </c>
      <c r="E10" s="150">
        <f>'2. Prognose RR'!E9</f>
        <v>416.66666666666669</v>
      </c>
      <c r="F10" s="150">
        <f>'2. Prognose RR'!F9</f>
        <v>437.5</v>
      </c>
      <c r="G10" s="150">
        <f>'2. Prognose RR'!G9</f>
        <v>446.25</v>
      </c>
      <c r="H10" s="150">
        <f>'2. Prognose RR'!H9</f>
        <v>455.17500000000001</v>
      </c>
      <c r="I10" s="150">
        <f>'2. Prognose RR'!I9</f>
        <v>464.27850000000001</v>
      </c>
      <c r="J10" s="150">
        <f>'2. Prognose RR'!J9</f>
        <v>473.56407000000002</v>
      </c>
      <c r="K10" s="150">
        <f>'2. Prognose RR'!K9</f>
        <v>483.03535140000002</v>
      </c>
    </row>
    <row r="11" spans="2:16" s="44" customFormat="1" ht="13.8" outlineLevel="1" x14ac:dyDescent="0.3">
      <c r="B11" s="112"/>
      <c r="E11" s="51"/>
      <c r="F11" s="51"/>
      <c r="G11" s="51"/>
      <c r="H11" s="51"/>
      <c r="I11" s="51"/>
      <c r="J11" s="51"/>
      <c r="K11" s="51"/>
    </row>
    <row r="12" spans="2:16" s="44" customFormat="1" ht="13.8" outlineLevel="1" x14ac:dyDescent="0.3">
      <c r="B12" s="112" t="s">
        <v>38</v>
      </c>
      <c r="E12" s="92">
        <f>'2. Prognose RR'!E24</f>
        <v>5</v>
      </c>
      <c r="F12" s="92">
        <f>'2. Prognose RR'!F24</f>
        <v>5</v>
      </c>
      <c r="G12" s="92">
        <f>'2. Prognose RR'!G24</f>
        <v>6</v>
      </c>
      <c r="H12" s="92">
        <f>'2. Prognose RR'!H24</f>
        <v>6</v>
      </c>
      <c r="I12" s="92">
        <f>'2. Prognose RR'!I24</f>
        <v>6</v>
      </c>
      <c r="J12" s="92">
        <f>'2. Prognose RR'!J24</f>
        <v>6</v>
      </c>
      <c r="K12" s="92">
        <f>'2. Prognose RR'!K24</f>
        <v>7</v>
      </c>
    </row>
    <row r="13" spans="2:16" s="44" customFormat="1" ht="13.8" outlineLevel="1" x14ac:dyDescent="0.3">
      <c r="B13" s="112" t="s">
        <v>255</v>
      </c>
      <c r="E13" s="150">
        <f>(RR!E9)/E12</f>
        <v>110</v>
      </c>
      <c r="F13" s="150">
        <f>(RR!F9)/F12</f>
        <v>116</v>
      </c>
      <c r="G13" s="150">
        <f>(RR!G9)/G12</f>
        <v>103.60000000000001</v>
      </c>
      <c r="H13" s="150">
        <f>(RR!H9)/H12</f>
        <v>108.15825</v>
      </c>
      <c r="I13" s="150">
        <f>(RR!I9)/I12</f>
        <v>118.05939000000001</v>
      </c>
      <c r="J13" s="150">
        <f>(RR!J9)/J12</f>
        <v>128.31331229999998</v>
      </c>
      <c r="K13" s="150">
        <f>(RR!K9)/K12</f>
        <v>112.18249589657144</v>
      </c>
      <c r="M13" s="44" t="s">
        <v>242</v>
      </c>
    </row>
    <row r="14" spans="2:16" s="44" customFormat="1" ht="13.8" outlineLevel="1" x14ac:dyDescent="0.3">
      <c r="B14" s="112" t="s">
        <v>128</v>
      </c>
      <c r="E14" s="150">
        <f>(RR!E11)/E12</f>
        <v>-60</v>
      </c>
      <c r="F14" s="150">
        <f>(RR!F11)/F12</f>
        <v>-63</v>
      </c>
      <c r="G14" s="150">
        <f>(RR!G11)/G12</f>
        <v>-61.846666666666664</v>
      </c>
      <c r="H14" s="150">
        <f>(RR!H11)/H12</f>
        <v>-62.550266666666666</v>
      </c>
      <c r="I14" s="150">
        <f>(RR!I11)/I12</f>
        <v>-63.777938666666671</v>
      </c>
      <c r="J14" s="150">
        <f>(RR!J11)/J12</f>
        <v>-65.030164106666675</v>
      </c>
      <c r="K14" s="150">
        <f>(RR!K11)/K12</f>
        <v>-66.140767388800001</v>
      </c>
    </row>
    <row r="15" spans="2:16" s="44" customFormat="1" ht="13.8" outlineLevel="1" x14ac:dyDescent="0.3">
      <c r="B15" s="112" t="s">
        <v>129</v>
      </c>
      <c r="E15" s="93">
        <f>(RR!E11)/RR!E9</f>
        <v>-0.54545454545454541</v>
      </c>
      <c r="F15" s="93">
        <f>(RR!F11)/RR!F9</f>
        <v>-0.5431034482758621</v>
      </c>
      <c r="G15" s="93">
        <f>(RR!G11)/RR!G9</f>
        <v>-0.59697554697554689</v>
      </c>
      <c r="H15" s="93">
        <f>(RR!H11)/RR!H9</f>
        <v>-0.57832173381750052</v>
      </c>
      <c r="I15" s="93">
        <f>(RR!I11)/RR!I9</f>
        <v>-0.54021911062446337</v>
      </c>
      <c r="J15" s="93">
        <f>(RR!J11)/RR!J9</f>
        <v>-0.50680761754964587</v>
      </c>
      <c r="K15" s="93">
        <f>(RR!K11)/RR!K9</f>
        <v>-0.58958188494735941</v>
      </c>
      <c r="M15" s="44" t="s">
        <v>242</v>
      </c>
    </row>
    <row r="16" spans="2:16" s="44" customFormat="1" ht="13.8" outlineLevel="1" x14ac:dyDescent="0.3">
      <c r="E16" s="94"/>
      <c r="F16" s="94"/>
      <c r="G16" s="94"/>
      <c r="H16" s="94"/>
      <c r="I16" s="94"/>
      <c r="J16" s="94"/>
      <c r="K16" s="94"/>
    </row>
    <row r="17" spans="2:15" s="44" customFormat="1" ht="13.8" outlineLevel="1" x14ac:dyDescent="0.3">
      <c r="B17" s="119" t="s">
        <v>125</v>
      </c>
      <c r="E17" s="69"/>
      <c r="F17" s="69"/>
      <c r="G17" s="69"/>
      <c r="H17" s="69"/>
      <c r="I17" s="69"/>
      <c r="J17" s="69"/>
      <c r="K17" s="69"/>
      <c r="L17" s="54"/>
      <c r="M17" s="54"/>
      <c r="N17" s="54"/>
      <c r="O17" s="54"/>
    </row>
    <row r="18" spans="2:15" s="44" customFormat="1" ht="13.8" outlineLevel="1" x14ac:dyDescent="0.3">
      <c r="B18" s="112" t="s">
        <v>34</v>
      </c>
      <c r="E18" s="150">
        <f>RR!E29</f>
        <v>85</v>
      </c>
      <c r="F18" s="150">
        <f>RR!F29</f>
        <v>89</v>
      </c>
      <c r="G18" s="150">
        <f>RR!G29</f>
        <v>70.745000000000047</v>
      </c>
      <c r="H18" s="150">
        <f>RR!H29</f>
        <v>38.001525000000015</v>
      </c>
      <c r="I18" s="150">
        <f>RR!I29</f>
        <v>84.008013000000005</v>
      </c>
      <c r="J18" s="150">
        <f>RR!J29</f>
        <v>129.81675990999986</v>
      </c>
      <c r="K18" s="150">
        <f>RR!K29</f>
        <v>80.452327719399932</v>
      </c>
      <c r="L18" s="54"/>
      <c r="M18" s="95"/>
      <c r="N18" s="54"/>
      <c r="O18" s="54"/>
    </row>
    <row r="19" spans="2:15" s="44" customFormat="1" ht="13.8" outlineLevel="1" x14ac:dyDescent="0.3">
      <c r="B19" s="112" t="s">
        <v>64</v>
      </c>
      <c r="E19" s="49">
        <f>RR!E32</f>
        <v>0.15454545454545454</v>
      </c>
      <c r="F19" s="49">
        <f>RR!F32</f>
        <v>0.15344827586206897</v>
      </c>
      <c r="G19" s="49">
        <f>RR!G32</f>
        <v>0.11381113256113264</v>
      </c>
      <c r="H19" s="49">
        <f>RR!H32</f>
        <v>5.8558524199494748E-2</v>
      </c>
      <c r="I19" s="49">
        <f>RR!I32</f>
        <v>0.11859569577650707</v>
      </c>
      <c r="J19" s="49">
        <f>RR!J32</f>
        <v>0.16861950068813433</v>
      </c>
      <c r="K19" s="49">
        <f>RR!K32</f>
        <v>0.10245082873531654</v>
      </c>
      <c r="L19" s="54"/>
      <c r="M19" s="95" t="s">
        <v>134</v>
      </c>
      <c r="N19" s="54"/>
      <c r="O19" s="54"/>
    </row>
    <row r="20" spans="2:15" s="44" customFormat="1" ht="13.8" outlineLevel="1" x14ac:dyDescent="0.3">
      <c r="B20" s="112" t="s">
        <v>65</v>
      </c>
      <c r="E20" s="49">
        <f>RR!E33</f>
        <v>0.13636363636363635</v>
      </c>
      <c r="F20" s="49">
        <f>RR!F33</f>
        <v>0.13448275862068965</v>
      </c>
      <c r="G20" s="49">
        <f>RR!G33</f>
        <v>8.1790871460746525E-2</v>
      </c>
      <c r="H20" s="49">
        <f>RR!H33</f>
        <v>2.3116629260058013E-2</v>
      </c>
      <c r="I20" s="49">
        <f>RR!I33</f>
        <v>6.6362098206109096E-2</v>
      </c>
      <c r="J20" s="49">
        <f>RR!J33</f>
        <v>0.11666334316115989</v>
      </c>
      <c r="K20" s="49">
        <f>RR!K33</f>
        <v>5.1513419395145525E-2</v>
      </c>
      <c r="L20" s="54"/>
      <c r="M20" s="95" t="s">
        <v>133</v>
      </c>
      <c r="N20" s="54"/>
      <c r="O20" s="54"/>
    </row>
    <row r="21" spans="2:15" s="44" customFormat="1" ht="13.8" outlineLevel="1" x14ac:dyDescent="0.3">
      <c r="B21" s="112" t="s">
        <v>370</v>
      </c>
      <c r="E21" s="49">
        <f>RR!E34</f>
        <v>0.11454545454545455</v>
      </c>
      <c r="F21" s="49">
        <f>RR!F34</f>
        <v>9.1379310344827588E-2</v>
      </c>
      <c r="G21" s="49">
        <f>RR!G34</f>
        <v>6.008832734073364E-2</v>
      </c>
      <c r="H21" s="49">
        <f>RR!H34</f>
        <v>6.4548387432304122E-2</v>
      </c>
      <c r="I21" s="49">
        <f>RR!I34</f>
        <v>3.8839575784696163E-2</v>
      </c>
      <c r="J21" s="49">
        <f>RR!J34</f>
        <v>8.6523329417239142E-2</v>
      </c>
      <c r="K21" s="49">
        <f>RR!K34</f>
        <v>3.9231987312064238E-2</v>
      </c>
      <c r="L21" s="54"/>
      <c r="M21" s="95" t="s">
        <v>132</v>
      </c>
      <c r="N21" s="54"/>
      <c r="O21" s="54"/>
    </row>
    <row r="22" spans="2:15" s="44" customFormat="1" ht="13.8" outlineLevel="1" x14ac:dyDescent="0.3">
      <c r="B22" s="112" t="s">
        <v>123</v>
      </c>
      <c r="E22" s="96"/>
      <c r="F22" s="96">
        <f>RR!F26/((Balans!E18+Balans!F18)/2)</f>
        <v>0.43801652892561982</v>
      </c>
      <c r="G22" s="96">
        <f>RR!G26/((Balans!F18+Balans!G18)/2)</f>
        <v>0.23992802822894596</v>
      </c>
      <c r="H22" s="96">
        <f>RR!H26/((Balans!G18+Balans!H18)/2)</f>
        <v>0.22606434402195763</v>
      </c>
      <c r="I22" s="96">
        <f>RR!I26/((Balans!H18+Balans!I18)/2)</f>
        <v>0.13259196542522297</v>
      </c>
      <c r="J22" s="96">
        <f>RR!J26/((Balans!I18+Balans!J18)/2)</f>
        <v>0.28099681880596178</v>
      </c>
      <c r="K22" s="96">
        <f>RR!K26/((Balans!J18+Balans!K18)/2)</f>
        <v>0.11592047292960997</v>
      </c>
      <c r="L22" s="54"/>
      <c r="M22" s="95" t="s">
        <v>124</v>
      </c>
      <c r="N22" s="54"/>
      <c r="O22" s="54"/>
    </row>
    <row r="23" spans="2:15" s="44" customFormat="1" ht="13.8" outlineLevel="1" x14ac:dyDescent="0.3">
      <c r="L23" s="54"/>
      <c r="M23" s="54"/>
      <c r="N23" s="54"/>
      <c r="O23" s="54"/>
    </row>
    <row r="24" spans="2:15" s="44" customFormat="1" ht="13.8" outlineLevel="1" x14ac:dyDescent="0.3">
      <c r="B24" s="119" t="s">
        <v>112</v>
      </c>
      <c r="L24" s="54"/>
      <c r="M24" s="54"/>
      <c r="N24" s="54"/>
      <c r="O24" s="54"/>
    </row>
    <row r="25" spans="2:15" s="44" customFormat="1" ht="13.8" outlineLevel="1" x14ac:dyDescent="0.3">
      <c r="B25" s="112" t="s">
        <v>113</v>
      </c>
      <c r="E25" s="48">
        <f>RR!E29/-RR!E22</f>
        <v>17</v>
      </c>
      <c r="F25" s="48">
        <f>RR!F29/-RR!F22</f>
        <v>14.833333333333334</v>
      </c>
      <c r="G25" s="48">
        <f>RR!G29/-RR!G22</f>
        <v>23.271381578947384</v>
      </c>
      <c r="H25" s="48">
        <f>RR!H29/-RR!H22</f>
        <v>7.3789368932038863</v>
      </c>
      <c r="I25" s="48">
        <f>RR!I29/-RR!I22</f>
        <v>13.28189928853755</v>
      </c>
      <c r="J25" s="48">
        <f>RR!J29/-RR!J22</f>
        <v>43.272253303333287</v>
      </c>
      <c r="K25" s="48">
        <f>RR!K29/-RR!K22</f>
        <v>58.510783795927225</v>
      </c>
      <c r="L25" s="54"/>
      <c r="M25" s="95" t="s">
        <v>114</v>
      </c>
      <c r="N25" s="54"/>
      <c r="O25" s="54"/>
    </row>
    <row r="26" spans="2:15" s="44" customFormat="1" ht="13.8" outlineLevel="1" x14ac:dyDescent="0.3">
      <c r="B26" s="112" t="s">
        <v>115</v>
      </c>
      <c r="E26" s="48"/>
      <c r="F26" s="48">
        <f>(RR!F29)/(-RR!F22+'3. Prognose BS'!F100)</f>
        <v>5.5625</v>
      </c>
      <c r="G26" s="48">
        <f>(RR!G29)/(-RR!G22+'3. Prognose BS'!G100)</f>
        <v>5.4252300613496969</v>
      </c>
      <c r="H26" s="48">
        <f>(RR!H29)/(-RR!H22+'3. Prognose BS'!H100)</f>
        <v>1.5109950298210741</v>
      </c>
      <c r="I26" s="48">
        <f>(RR!I29)/(-RR!I22+'3. Prognose BS'!I100)</f>
        <v>1.8134487425796006</v>
      </c>
      <c r="J26" s="48">
        <f>(RR!J29)/(-RR!J22+'3. Prognose BS'!J100)</f>
        <v>3.9338412093939352</v>
      </c>
      <c r="K26" s="48">
        <f>(RR!K29)/(-RR!K22+'3. Prognose BS'!K100)</f>
        <v>2.5642176165545796</v>
      </c>
      <c r="L26" s="54"/>
      <c r="M26" s="95" t="s">
        <v>249</v>
      </c>
      <c r="N26" s="54"/>
      <c r="O26" s="54"/>
    </row>
    <row r="27" spans="2:15" s="44" customFormat="1" ht="13.8" outlineLevel="1" x14ac:dyDescent="0.3">
      <c r="B27" s="112" t="s">
        <v>116</v>
      </c>
      <c r="E27" s="48">
        <f>Balans!E14/Balans!E28</f>
        <v>2.3095238095238093</v>
      </c>
      <c r="F27" s="48">
        <f>Balans!F14/Balans!F28</f>
        <v>1.8571428571428572</v>
      </c>
      <c r="G27" s="48">
        <f>Balans!G14/Balans!G28</f>
        <v>2.1893498033215564</v>
      </c>
      <c r="H27" s="48">
        <f>Balans!H14/Balans!H28</f>
        <v>2.0268188549114146</v>
      </c>
      <c r="I27" s="48">
        <f>Balans!I14/Balans!I28</f>
        <v>1.0372520516779995</v>
      </c>
      <c r="J27" s="48">
        <f>Balans!J14/Balans!J28</f>
        <v>1.399807784662622</v>
      </c>
      <c r="K27" s="48">
        <f>Balans!K14/Balans!K28</f>
        <v>1.3163594782882986</v>
      </c>
      <c r="L27" s="54"/>
      <c r="M27" s="95" t="s">
        <v>119</v>
      </c>
      <c r="N27" s="54"/>
      <c r="O27" s="54"/>
    </row>
    <row r="28" spans="2:15" s="44" customFormat="1" ht="13.8" outlineLevel="1" x14ac:dyDescent="0.3">
      <c r="B28" s="112" t="s">
        <v>117</v>
      </c>
      <c r="E28" s="150">
        <f>Balans!E14-Balans!E28</f>
        <v>110</v>
      </c>
      <c r="F28" s="150">
        <f>Balans!F14-Balans!F28</f>
        <v>72</v>
      </c>
      <c r="G28" s="150">
        <f>Balans!G14-Balans!G28</f>
        <v>69.254698575000077</v>
      </c>
      <c r="H28" s="150">
        <f>Balans!H14-Balans!H28</f>
        <v>134.14334232499999</v>
      </c>
      <c r="I28" s="150">
        <f>Balans!I14-Balans!I28</f>
        <v>3.6556020750000329</v>
      </c>
      <c r="J28" s="150">
        <f>Balans!J14-Balans!J28</f>
        <v>30.268172007499857</v>
      </c>
      <c r="K28" s="150">
        <f>Balans!K14-Balans!K28</f>
        <v>21.076167797049976</v>
      </c>
      <c r="L28" s="54"/>
      <c r="M28" s="95" t="s">
        <v>120</v>
      </c>
      <c r="N28" s="54"/>
      <c r="O28" s="54"/>
    </row>
    <row r="29" spans="2:15" s="44" customFormat="1" ht="13.8" outlineLevel="1" x14ac:dyDescent="0.3">
      <c r="B29" s="112" t="s">
        <v>121</v>
      </c>
      <c r="E29" s="150">
        <f>Balans!E14-Balans!E13-Balans!E28+Balans!E25+Balans!E24</f>
        <v>20</v>
      </c>
      <c r="F29" s="150">
        <f>Balans!F14-Balans!F13-Balans!F28+Balans!F25+Balans!F24</f>
        <v>7</v>
      </c>
      <c r="G29" s="150">
        <f>Balans!G14-Balans!G13-Balans!G28+Balans!G25+Balans!G24</f>
        <v>19.267520547945196</v>
      </c>
      <c r="H29" s="150">
        <f>Balans!H14-Balans!H13-Balans!H28+Balans!H25+Balans!H24</f>
        <v>22.893966369862994</v>
      </c>
      <c r="I29" s="150">
        <f>Balans!I14-Balans!I13-Balans!I28+Balans!I25+Balans!I24</f>
        <v>26.657763016438352</v>
      </c>
      <c r="J29" s="150">
        <f>Balans!J14-Balans!J13-Balans!J28+Balans!J25+Balans!J24</f>
        <v>30.562953942328761</v>
      </c>
      <c r="K29" s="150">
        <f>Balans!K14-Balans!K13-Balans!K28+Balans!K25+Balans!K24</f>
        <v>31.174213021175348</v>
      </c>
      <c r="L29" s="54"/>
      <c r="M29" s="95" t="s">
        <v>122</v>
      </c>
      <c r="N29" s="54"/>
      <c r="O29" s="54"/>
    </row>
    <row r="30" spans="2:15" s="44" customFormat="1" ht="13.8" outlineLevel="1" x14ac:dyDescent="0.3">
      <c r="L30" s="54"/>
      <c r="M30" s="54"/>
      <c r="N30" s="54"/>
      <c r="O30" s="54"/>
    </row>
    <row r="31" spans="2:15" s="44" customFormat="1" ht="13.8" outlineLevel="1" x14ac:dyDescent="0.3">
      <c r="B31" s="119" t="s">
        <v>130</v>
      </c>
      <c r="L31" s="54"/>
      <c r="M31" s="54"/>
      <c r="N31" s="54"/>
      <c r="O31" s="54"/>
    </row>
    <row r="32" spans="2:15" s="44" customFormat="1" ht="13.8" outlineLevel="1" x14ac:dyDescent="0.3">
      <c r="B32" s="112" t="s">
        <v>126</v>
      </c>
      <c r="E32" s="49"/>
      <c r="F32" s="49">
        <f>((Balans!F18+Balans!E18)/2)/((Balans!F30+Balans!E30)/2)</f>
        <v>0.39672131147540984</v>
      </c>
      <c r="G32" s="49">
        <f>((Balans!G18+Balans!F18)/2)/((Balans!G30+Balans!F30)/2)</f>
        <v>0.5335188550338601</v>
      </c>
      <c r="H32" s="49">
        <f>((Balans!H18+Balans!G18)/2)/((Balans!H30+Balans!G30)/2)</f>
        <v>0.5150958359577319</v>
      </c>
      <c r="I32" s="49">
        <f>((Balans!I18+Balans!H18)/2)/((Balans!I30+Balans!H30)/2)</f>
        <v>0.50996608653379938</v>
      </c>
      <c r="J32" s="49">
        <f>((Balans!J18+Balans!I18)/2)/((Balans!J30+Balans!I30)/2)</f>
        <v>0.61737531199682927</v>
      </c>
      <c r="K32" s="49">
        <f>((Balans!K18+Balans!J18)/2)/((Balans!K30+Balans!J30)/2)</f>
        <v>0.70508260558932923</v>
      </c>
      <c r="L32" s="54"/>
      <c r="M32" s="95" t="s">
        <v>131</v>
      </c>
      <c r="N32" s="54"/>
      <c r="O32" s="54"/>
    </row>
    <row r="33" spans="2:15" s="44" customFormat="1" ht="13.8" x14ac:dyDescent="0.3">
      <c r="L33" s="54"/>
      <c r="M33" s="54"/>
      <c r="N33" s="54"/>
      <c r="O33" s="54"/>
    </row>
    <row r="34" spans="2:15" s="46" customFormat="1" ht="13.8" x14ac:dyDescent="0.3">
      <c r="B34" s="131" t="s">
        <v>69</v>
      </c>
      <c r="C34" s="132"/>
      <c r="D34" s="131"/>
      <c r="E34" s="132" t="str">
        <f>E5</f>
        <v>R 2024</v>
      </c>
      <c r="F34" s="132" t="str">
        <f t="shared" ref="F34:K34" si="0">F5</f>
        <v>R 2025</v>
      </c>
      <c r="G34" s="132" t="str">
        <f t="shared" si="0"/>
        <v>P 2026</v>
      </c>
      <c r="H34" s="132" t="str">
        <f t="shared" si="0"/>
        <v>P 2027</v>
      </c>
      <c r="I34" s="132" t="str">
        <f t="shared" si="0"/>
        <v>P 2028</v>
      </c>
      <c r="J34" s="132" t="str">
        <f t="shared" si="0"/>
        <v>P 2029</v>
      </c>
      <c r="K34" s="132" t="str">
        <f t="shared" si="0"/>
        <v>P 2030</v>
      </c>
      <c r="L34" s="59"/>
      <c r="M34" s="59"/>
      <c r="N34" s="59"/>
      <c r="O34" s="59"/>
    </row>
    <row r="35" spans="2:15" s="44" customFormat="1" ht="13.8" outlineLevel="1" x14ac:dyDescent="0.3">
      <c r="E35" s="51"/>
      <c r="F35" s="51"/>
      <c r="G35" s="51"/>
      <c r="H35" s="51"/>
      <c r="I35" s="51"/>
      <c r="J35" s="51"/>
      <c r="K35" s="51"/>
    </row>
    <row r="36" spans="2:15" s="44" customFormat="1" ht="13.8" outlineLevel="1" x14ac:dyDescent="0.3">
      <c r="B36" s="44" t="str">
        <f>RR!B7</f>
        <v>Opbrengsten p*q</v>
      </c>
      <c r="E36" s="49">
        <f>RR!E7/RR!E$9</f>
        <v>0.90909090909090906</v>
      </c>
      <c r="F36" s="49">
        <f>RR!F7/RR!F$9</f>
        <v>0.90517241379310343</v>
      </c>
      <c r="G36" s="49">
        <f>RR!G7/RR!G$9</f>
        <v>0.8614864864864864</v>
      </c>
      <c r="H36" s="49">
        <f>RR!H7/RR!H$9</f>
        <v>0.9118236472945892</v>
      </c>
      <c r="I36" s="49">
        <f>RR!I7/RR!I$9</f>
        <v>0.91760299625468167</v>
      </c>
      <c r="J36" s="49">
        <f>RR!J7/RR!J$9</f>
        <v>0.9226713532513181</v>
      </c>
      <c r="K36" s="49">
        <f>RR!K7/RR!K$9</f>
        <v>0.9226713532513181</v>
      </c>
      <c r="L36" s="54"/>
      <c r="M36" s="54" t="s">
        <v>136</v>
      </c>
      <c r="N36" s="54"/>
      <c r="O36" s="54"/>
    </row>
    <row r="37" spans="2:15" s="44" customFormat="1" ht="13.8" outlineLevel="1" x14ac:dyDescent="0.3">
      <c r="B37" s="44" t="str">
        <f>RR!B8</f>
        <v>Overige opbrengsten</v>
      </c>
      <c r="E37" s="49">
        <f>RR!E8/RR!E$9</f>
        <v>9.0909090909090912E-2</v>
      </c>
      <c r="F37" s="49">
        <f>RR!F8/RR!F$9</f>
        <v>9.4827586206896547E-2</v>
      </c>
      <c r="G37" s="49">
        <f>RR!G8/RR!G$9</f>
        <v>0.13851351351351349</v>
      </c>
      <c r="H37" s="49">
        <f>RR!H8/RR!H$9</f>
        <v>8.8176352705410826E-2</v>
      </c>
      <c r="I37" s="49">
        <f>RR!I8/RR!I$9</f>
        <v>8.2397003745318359E-2</v>
      </c>
      <c r="J37" s="49">
        <f>RR!J8/RR!J$9</f>
        <v>7.7328646748681909E-2</v>
      </c>
      <c r="K37" s="49">
        <f>RR!K8/RR!K$9</f>
        <v>7.7328646748681909E-2</v>
      </c>
      <c r="L37" s="54"/>
      <c r="M37" s="54" t="s">
        <v>135</v>
      </c>
      <c r="N37" s="54"/>
      <c r="O37" s="54"/>
    </row>
    <row r="38" spans="2:15" s="44" customFormat="1" ht="13.8" outlineLevel="1" x14ac:dyDescent="0.3">
      <c r="B38" s="46" t="str">
        <f>RR!B9</f>
        <v>Totale opbrengsten</v>
      </c>
      <c r="C38" s="46"/>
      <c r="D38" s="46"/>
      <c r="E38" s="78">
        <f>RR!E9/RR!E$9</f>
        <v>1</v>
      </c>
      <c r="F38" s="78">
        <f>RR!F9/RR!F$9</f>
        <v>1</v>
      </c>
      <c r="G38" s="78">
        <f>RR!G9/RR!G$9</f>
        <v>1</v>
      </c>
      <c r="H38" s="78">
        <f>RR!H9/RR!H$9</f>
        <v>1</v>
      </c>
      <c r="I38" s="78">
        <f>RR!I9/RR!I$9</f>
        <v>1</v>
      </c>
      <c r="J38" s="78">
        <f>RR!J9/RR!J$9</f>
        <v>1</v>
      </c>
      <c r="K38" s="78">
        <f>RR!K9/RR!K$9</f>
        <v>1</v>
      </c>
      <c r="L38" s="54"/>
      <c r="M38" s="54"/>
      <c r="N38" s="54"/>
      <c r="O38" s="54"/>
    </row>
    <row r="39" spans="2:15" s="44" customFormat="1" ht="13.8" outlineLevel="1" x14ac:dyDescent="0.3">
      <c r="E39" s="49"/>
      <c r="F39" s="49"/>
      <c r="G39" s="49"/>
      <c r="H39" s="49"/>
      <c r="I39" s="49"/>
      <c r="J39" s="49"/>
      <c r="K39" s="49"/>
      <c r="L39" s="54"/>
      <c r="M39" s="54"/>
      <c r="N39" s="54"/>
      <c r="O39" s="54"/>
    </row>
    <row r="40" spans="2:15" s="44" customFormat="1" ht="13.8" outlineLevel="1" x14ac:dyDescent="0.3">
      <c r="B40" s="44" t="str">
        <f>RR!B11</f>
        <v>Personeelskosten</v>
      </c>
      <c r="E40" s="49">
        <f>RR!E11/RR!E$9</f>
        <v>-0.54545454545454541</v>
      </c>
      <c r="F40" s="49">
        <f>RR!F11/RR!F$9</f>
        <v>-0.5431034482758621</v>
      </c>
      <c r="G40" s="49">
        <f>RR!G11/RR!G$9</f>
        <v>-0.59697554697554689</v>
      </c>
      <c r="H40" s="49">
        <f>RR!H11/RR!H$9</f>
        <v>-0.57832173381750052</v>
      </c>
      <c r="I40" s="49">
        <f>RR!I11/RR!I$9</f>
        <v>-0.54021911062446337</v>
      </c>
      <c r="J40" s="49">
        <f>RR!J11/RR!J$9</f>
        <v>-0.50680761754964587</v>
      </c>
      <c r="K40" s="49">
        <f>RR!K11/RR!K$9</f>
        <v>-0.58958188494735941</v>
      </c>
      <c r="L40" s="54"/>
      <c r="M40" s="54"/>
      <c r="N40" s="54"/>
      <c r="O40" s="54"/>
    </row>
    <row r="41" spans="2:15" s="44" customFormat="1" ht="13.8" outlineLevel="1" x14ac:dyDescent="0.3">
      <c r="B41" s="44" t="str">
        <f>RR!B12</f>
        <v>Afschrijvingen</v>
      </c>
      <c r="E41" s="49">
        <f>RR!E12/RR!E$9</f>
        <v>-1.8181818181818181E-2</v>
      </c>
      <c r="F41" s="49">
        <f>RR!F12/RR!F$9</f>
        <v>-1.896551724137931E-2</v>
      </c>
      <c r="G41" s="49">
        <f>RR!G12/RR!G$9</f>
        <v>-3.2020261100386103E-2</v>
      </c>
      <c r="H41" s="49">
        <f>RR!H12/RR!H$9</f>
        <v>-3.5441894939436738E-2</v>
      </c>
      <c r="I41" s="49">
        <f>RR!I12/RR!I$9</f>
        <v>-5.2233597570397972E-2</v>
      </c>
      <c r="J41" s="49">
        <f>RR!J12/RR!J$9</f>
        <v>-5.1956157526974439E-2</v>
      </c>
      <c r="K41" s="49">
        <f>RR!K12/RR!K$9</f>
        <v>-5.0937409340171012E-2</v>
      </c>
      <c r="L41" s="54"/>
      <c r="M41" s="54"/>
      <c r="N41" s="54"/>
      <c r="O41" s="54"/>
    </row>
    <row r="42" spans="2:15" s="44" customFormat="1" ht="13.8" outlineLevel="1" x14ac:dyDescent="0.3">
      <c r="B42" s="44" t="str">
        <f>RR!B13</f>
        <v>Huisvestingslasten</v>
      </c>
      <c r="E42" s="49">
        <f>RR!E13/RR!E$9</f>
        <v>-0.25454545454545452</v>
      </c>
      <c r="F42" s="49">
        <f>RR!F13/RR!F$9</f>
        <v>-0.25862068965517243</v>
      </c>
      <c r="G42" s="49">
        <f>RR!G13/RR!G$9</f>
        <v>-0.24613899613899612</v>
      </c>
      <c r="H42" s="49">
        <f>RR!H13/RR!H$9</f>
        <v>-0.27900476077106157</v>
      </c>
      <c r="I42" s="49">
        <f>RR!I13/RR!I$9</f>
        <v>-0.26001207245494545</v>
      </c>
      <c r="J42" s="49">
        <f>RR!J13/RR!J$9</f>
        <v>-0.2446678117071204</v>
      </c>
      <c r="K42" s="49">
        <f>RR!K13/RR!K$9</f>
        <v>-0.23636501398467247</v>
      </c>
      <c r="L42" s="54"/>
      <c r="M42" s="54"/>
      <c r="N42" s="54"/>
      <c r="O42" s="54"/>
    </row>
    <row r="43" spans="2:15" s="44" customFormat="1" ht="13.8" outlineLevel="1" x14ac:dyDescent="0.3">
      <c r="B43" s="44" t="str">
        <f>RR!B14</f>
        <v>Overige kosten</v>
      </c>
      <c r="E43" s="49">
        <f>RR!E14/RR!E$9</f>
        <v>-4.5454545454545456E-2</v>
      </c>
      <c r="F43" s="49">
        <f>RR!F14/RR!F$9</f>
        <v>-4.4827586206896551E-2</v>
      </c>
      <c r="G43" s="49">
        <f>RR!G14/RR!G$9</f>
        <v>-4.3074324324324328E-2</v>
      </c>
      <c r="H43" s="49">
        <f>RR!H14/RR!H$9</f>
        <v>-8.4114981211943315E-2</v>
      </c>
      <c r="I43" s="49">
        <f>RR!I14/RR!I$9</f>
        <v>-8.1173121144084065E-2</v>
      </c>
      <c r="J43" s="49">
        <f>RR!J14/RR!J$9</f>
        <v>-7.9905070055099295E-2</v>
      </c>
      <c r="K43" s="49">
        <f>RR!K14/RR!K$9</f>
        <v>-7.1602272332651415E-2</v>
      </c>
      <c r="L43" s="54"/>
      <c r="M43" s="54"/>
      <c r="N43" s="54"/>
      <c r="O43" s="54"/>
    </row>
    <row r="44" spans="2:15" s="44" customFormat="1" ht="13.8" outlineLevel="1" x14ac:dyDescent="0.3">
      <c r="B44" s="46" t="str">
        <f>RR!B15</f>
        <v>Totale lasten</v>
      </c>
      <c r="C44" s="46"/>
      <c r="D44" s="46"/>
      <c r="E44" s="78">
        <f>RR!E15/RR!E$9</f>
        <v>-0.86363636363636365</v>
      </c>
      <c r="F44" s="78">
        <f>RR!F15/RR!F$9</f>
        <v>-0.8655172413793103</v>
      </c>
      <c r="G44" s="78">
        <f>RR!G15/RR!G$9</f>
        <v>-0.91820912853925352</v>
      </c>
      <c r="H44" s="78">
        <f>RR!H15/RR!H$9</f>
        <v>-0.97688337073994203</v>
      </c>
      <c r="I44" s="78">
        <f>RR!I15/RR!I$9</f>
        <v>-0.93363790179389095</v>
      </c>
      <c r="J44" s="78">
        <f>RR!J15/RR!J$9</f>
        <v>-0.88333665683884011</v>
      </c>
      <c r="K44" s="78">
        <f>RR!K15/RR!K$9</f>
        <v>-0.94848658060485447</v>
      </c>
      <c r="L44" s="54"/>
      <c r="M44" s="54"/>
      <c r="N44" s="54"/>
      <c r="O44" s="54"/>
    </row>
    <row r="45" spans="2:15" s="44" customFormat="1" ht="13.8" outlineLevel="1" x14ac:dyDescent="0.3">
      <c r="E45" s="49"/>
      <c r="F45" s="49"/>
      <c r="G45" s="49"/>
      <c r="H45" s="49"/>
      <c r="I45" s="49"/>
      <c r="J45" s="49"/>
      <c r="K45" s="49"/>
      <c r="L45" s="54"/>
      <c r="M45" s="54"/>
      <c r="N45" s="54"/>
      <c r="O45" s="54"/>
    </row>
    <row r="46" spans="2:15" s="44" customFormat="1" ht="13.8" outlineLevel="1" x14ac:dyDescent="0.3">
      <c r="B46" s="46" t="str">
        <f>RR!B17</f>
        <v>Operationeel resultaat (EBIT)</v>
      </c>
      <c r="C46" s="46"/>
      <c r="D46" s="46"/>
      <c r="E46" s="78">
        <f>RR!E17/RR!E$9</f>
        <v>0.13636363636363635</v>
      </c>
      <c r="F46" s="78">
        <f>RR!F17/RR!F$9</f>
        <v>0.13448275862068965</v>
      </c>
      <c r="G46" s="78">
        <f>RR!G17/RR!G$9</f>
        <v>8.1790871460746525E-2</v>
      </c>
      <c r="H46" s="78">
        <f>RR!H17/RR!H$9</f>
        <v>2.3116629260058013E-2</v>
      </c>
      <c r="I46" s="78">
        <f>RR!I17/RR!I$9</f>
        <v>6.6362098206109096E-2</v>
      </c>
      <c r="J46" s="78">
        <f>RR!J17/RR!J$9</f>
        <v>0.11666334316115989</v>
      </c>
      <c r="K46" s="78">
        <f>RR!K17/RR!K$9</f>
        <v>5.1513419395145525E-2</v>
      </c>
      <c r="L46" s="54"/>
      <c r="M46" s="54"/>
      <c r="N46" s="54"/>
      <c r="O46" s="54"/>
    </row>
    <row r="47" spans="2:15" s="44" customFormat="1" ht="13.8" outlineLevel="1" x14ac:dyDescent="0.3">
      <c r="E47" s="49"/>
      <c r="F47" s="49"/>
      <c r="G47" s="49"/>
      <c r="H47" s="49"/>
      <c r="I47" s="49"/>
      <c r="J47" s="49"/>
      <c r="K47" s="49"/>
      <c r="L47" s="54"/>
      <c r="M47" s="54"/>
      <c r="N47" s="54"/>
      <c r="O47" s="54"/>
    </row>
    <row r="48" spans="2:15" s="44" customFormat="1" ht="13.8" outlineLevel="1" x14ac:dyDescent="0.3">
      <c r="B48" s="44" t="str">
        <f>RR!B19</f>
        <v>Niet-operationele baten/lasten</v>
      </c>
      <c r="E48" s="49">
        <f>RR!E19/RR!E$9</f>
        <v>0</v>
      </c>
      <c r="F48" s="49">
        <f>RR!F19/RR!F$9</f>
        <v>-1.7241379310344827E-2</v>
      </c>
      <c r="G48" s="49">
        <f>RR!G19/RR!G$9</f>
        <v>0</v>
      </c>
      <c r="H48" s="49">
        <f>RR!H19/RR!H$9</f>
        <v>6.1638078155542154E-2</v>
      </c>
      <c r="I48" s="49">
        <f>RR!I19/RR!I$9</f>
        <v>0</v>
      </c>
      <c r="J48" s="49">
        <f>RR!J19/RR!J$9</f>
        <v>0</v>
      </c>
      <c r="K48" s="49">
        <f>RR!K19/RR!K$9</f>
        <v>0</v>
      </c>
      <c r="L48" s="54"/>
      <c r="M48" s="54"/>
      <c r="N48" s="54"/>
      <c r="O48" s="54"/>
    </row>
    <row r="49" spans="2:15" s="44" customFormat="1" ht="13.8" outlineLevel="1" x14ac:dyDescent="0.3">
      <c r="B49" s="44" t="str">
        <f>RR!B20</f>
        <v>Verkoopresultaat vaste activa</v>
      </c>
      <c r="E49" s="49">
        <f>RR!E20/RR!E$9</f>
        <v>0</v>
      </c>
      <c r="F49" s="49">
        <f>RR!F20/RR!F$9</f>
        <v>2.4137931034482758E-2</v>
      </c>
      <c r="G49" s="49">
        <f>RR!G20/RR!G$9</f>
        <v>0</v>
      </c>
      <c r="H49" s="49">
        <f>RR!H20/RR!H$9</f>
        <v>6.1638078155542156E-3</v>
      </c>
      <c r="I49" s="49">
        <f>RR!I20/RR!I$9</f>
        <v>-8.470313119523995E-3</v>
      </c>
      <c r="J49" s="49">
        <f>RR!J20/RR!J$9</f>
        <v>0</v>
      </c>
      <c r="K49" s="49">
        <f>RR!K20/RR!K$9</f>
        <v>0</v>
      </c>
      <c r="L49" s="54"/>
      <c r="M49" s="54"/>
      <c r="N49" s="54"/>
      <c r="O49" s="54"/>
    </row>
    <row r="50" spans="2:15" s="44" customFormat="1" ht="13.8" outlineLevel="1" x14ac:dyDescent="0.3">
      <c r="B50" s="44" t="str">
        <f>RR!B21</f>
        <v>Financiële baten</v>
      </c>
      <c r="E50" s="49">
        <f>RR!E21/RR!E$9</f>
        <v>1.8181818181818182E-3</v>
      </c>
      <c r="F50" s="49">
        <f>RR!F21/RR!F$9</f>
        <v>3.4482758620689655E-3</v>
      </c>
      <c r="G50" s="49">
        <f>RR!G21/RR!G$9</f>
        <v>3.2175032175032173E-3</v>
      </c>
      <c r="H50" s="49">
        <f>RR!H21/RR!H$9</f>
        <v>3.0819039077771078E-3</v>
      </c>
      <c r="I50" s="49">
        <f>RR!I21/RR!I$9</f>
        <v>2.8234377065079982E-3</v>
      </c>
      <c r="J50" s="49">
        <f>RR!J21/RR!J$9</f>
        <v>2.597807876348722E-3</v>
      </c>
      <c r="K50" s="49">
        <f>RR!K21/RR!K$9</f>
        <v>2.5468704670085509E-3</v>
      </c>
      <c r="L50" s="54"/>
      <c r="M50" s="54"/>
      <c r="N50" s="54"/>
      <c r="O50" s="54"/>
    </row>
    <row r="51" spans="2:15" s="44" customFormat="1" ht="13.8" outlineLevel="1" x14ac:dyDescent="0.3">
      <c r="B51" s="44" t="str">
        <f>RR!B22</f>
        <v>Financiële lasten</v>
      </c>
      <c r="E51" s="49">
        <f>RR!E22/RR!E$9</f>
        <v>-9.0909090909090905E-3</v>
      </c>
      <c r="F51" s="49">
        <f>RR!F22/RR!F$9</f>
        <v>-1.0344827586206896E-2</v>
      </c>
      <c r="G51" s="49">
        <f>RR!G22/RR!G$9</f>
        <v>-4.8906048906048908E-3</v>
      </c>
      <c r="H51" s="49">
        <f>RR!H22/RR!H$9</f>
        <v>-7.9359025625260534E-3</v>
      </c>
      <c r="I51" s="49">
        <f>RR!I22/RR!I$9</f>
        <v>-8.9291217468315445E-3</v>
      </c>
      <c r="J51" s="49">
        <f>RR!J22/RR!J$9</f>
        <v>-3.8967118145230833E-3</v>
      </c>
      <c r="K51" s="49">
        <f>RR!K22/RR!K$9</f>
        <v>-1.7509734460683787E-3</v>
      </c>
      <c r="L51" s="54"/>
      <c r="M51" s="54"/>
      <c r="N51" s="54"/>
      <c r="O51" s="54"/>
    </row>
    <row r="52" spans="2:15" s="44" customFormat="1" ht="13.8" outlineLevel="1" x14ac:dyDescent="0.3">
      <c r="B52" s="46" t="str">
        <f>RR!B23</f>
        <v>Resultaat voor belastingen</v>
      </c>
      <c r="C52" s="46"/>
      <c r="D52" s="46"/>
      <c r="E52" s="78">
        <f>RR!E23/RR!E$9</f>
        <v>0.12909090909090909</v>
      </c>
      <c r="F52" s="78">
        <f>RR!F23/RR!F$9</f>
        <v>0.13448275862068965</v>
      </c>
      <c r="G52" s="78">
        <f>RR!G23/RR!G$9</f>
        <v>8.0117769787644857E-2</v>
      </c>
      <c r="H52" s="78">
        <f>RR!H23/RR!H$9</f>
        <v>8.6064516576405445E-2</v>
      </c>
      <c r="I52" s="78">
        <f>RR!I23/RR!I$9</f>
        <v>5.1786101046261544E-2</v>
      </c>
      <c r="J52" s="78">
        <f>RR!J23/RR!J$9</f>
        <v>0.11536443922298553</v>
      </c>
      <c r="K52" s="78">
        <f>RR!K23/RR!K$9</f>
        <v>5.2309316416085695E-2</v>
      </c>
      <c r="L52" s="54"/>
      <c r="M52" s="54"/>
      <c r="N52" s="54"/>
      <c r="O52" s="54"/>
    </row>
    <row r="53" spans="2:15" s="44" customFormat="1" ht="13.8" outlineLevel="1" x14ac:dyDescent="0.3">
      <c r="B53" s="46"/>
      <c r="C53" s="46"/>
      <c r="D53" s="46"/>
      <c r="E53" s="72"/>
      <c r="F53" s="72"/>
      <c r="G53" s="72"/>
      <c r="H53" s="72"/>
      <c r="I53" s="72"/>
      <c r="J53" s="72"/>
      <c r="K53" s="72"/>
      <c r="L53" s="54"/>
      <c r="M53" s="54"/>
      <c r="N53" s="54"/>
      <c r="O53" s="54"/>
    </row>
    <row r="54" spans="2:15" s="44" customFormat="1" ht="13.8" outlineLevel="1" x14ac:dyDescent="0.3">
      <c r="B54" s="44" t="str">
        <f>RR!B25</f>
        <v>Belastingen</v>
      </c>
      <c r="E54" s="49">
        <f>RR!E25/RR!E$9</f>
        <v>-1.4545454545454545E-2</v>
      </c>
      <c r="F54" s="49">
        <f>RR!F25/RR!F$9</f>
        <v>-4.3103448275862072E-2</v>
      </c>
      <c r="G54" s="49">
        <f>RR!G25/RR!G$9</f>
        <v>-2.0029442446911214E-2</v>
      </c>
      <c r="H54" s="49">
        <f>RR!H25/RR!H$9</f>
        <v>-2.1516129144101316E-2</v>
      </c>
      <c r="I54" s="49">
        <f>RR!I25/RR!I$9</f>
        <v>-1.2946525261565386E-2</v>
      </c>
      <c r="J54" s="49">
        <f>RR!J25/RR!J$9</f>
        <v>-2.8841109805746383E-2</v>
      </c>
      <c r="K54" s="49">
        <f>RR!K25/RR!K$9</f>
        <v>-1.307732910402146E-2</v>
      </c>
      <c r="L54" s="54"/>
      <c r="M54" s="54"/>
      <c r="N54" s="54"/>
      <c r="O54" s="54"/>
    </row>
    <row r="55" spans="2:15" s="44" customFormat="1" outlineLevel="1" thickBot="1" x14ac:dyDescent="0.35">
      <c r="B55" s="46" t="str">
        <f>RR!B26</f>
        <v>Netto resultaat</v>
      </c>
      <c r="C55" s="46"/>
      <c r="D55" s="46"/>
      <c r="E55" s="79">
        <f>RR!E26/RR!E$9</f>
        <v>0.11454545454545455</v>
      </c>
      <c r="F55" s="79">
        <f>RR!F26/RR!F$9</f>
        <v>9.1379310344827588E-2</v>
      </c>
      <c r="G55" s="79">
        <f>RR!G26/RR!G$9</f>
        <v>6.008832734073364E-2</v>
      </c>
      <c r="H55" s="79">
        <f>RR!H26/RR!H$9</f>
        <v>6.4548387432304122E-2</v>
      </c>
      <c r="I55" s="79">
        <f>RR!I26/RR!I$9</f>
        <v>3.8839575784696163E-2</v>
      </c>
      <c r="J55" s="79">
        <f>RR!J26/RR!J$9</f>
        <v>8.6523329417239142E-2</v>
      </c>
      <c r="K55" s="79">
        <f>RR!K26/RR!K$9</f>
        <v>3.9231987312064238E-2</v>
      </c>
      <c r="L55" s="54"/>
      <c r="M55" s="54"/>
      <c r="N55" s="54"/>
      <c r="O55" s="54"/>
    </row>
    <row r="56" spans="2:15" s="44" customFormat="1" thickTop="1" x14ac:dyDescent="0.3">
      <c r="L56" s="54"/>
      <c r="M56" s="54"/>
      <c r="N56" s="54"/>
      <c r="O56" s="54"/>
    </row>
    <row r="57" spans="2:15" s="44" customFormat="1" ht="13.8" x14ac:dyDescent="0.3">
      <c r="B57" s="131" t="s">
        <v>137</v>
      </c>
      <c r="C57" s="132"/>
      <c r="D57" s="131"/>
      <c r="E57" s="132" t="str">
        <f>E5</f>
        <v>R 2024</v>
      </c>
      <c r="F57" s="132" t="str">
        <f t="shared" ref="F57:K57" si="1">F5</f>
        <v>R 2025</v>
      </c>
      <c r="G57" s="132" t="str">
        <f t="shared" si="1"/>
        <v>P 2026</v>
      </c>
      <c r="H57" s="132" t="str">
        <f t="shared" si="1"/>
        <v>P 2027</v>
      </c>
      <c r="I57" s="132" t="str">
        <f t="shared" si="1"/>
        <v>P 2028</v>
      </c>
      <c r="J57" s="132" t="str">
        <f t="shared" si="1"/>
        <v>P 2029</v>
      </c>
      <c r="K57" s="132" t="str">
        <f t="shared" si="1"/>
        <v>P 2030</v>
      </c>
      <c r="L57" s="54"/>
      <c r="M57" s="54"/>
      <c r="N57" s="54"/>
      <c r="O57" s="54"/>
    </row>
    <row r="58" spans="2:15" s="44" customFormat="1" ht="13.8" outlineLevel="1" x14ac:dyDescent="0.3">
      <c r="L58" s="54"/>
      <c r="M58" s="54"/>
      <c r="N58" s="54"/>
      <c r="O58" s="54"/>
    </row>
    <row r="59" spans="2:15" s="44" customFormat="1" ht="13.8" outlineLevel="1" x14ac:dyDescent="0.3">
      <c r="B59" s="54" t="str">
        <f>Balans!B7</f>
        <v>Materiële Vaste Activa</v>
      </c>
      <c r="C59" s="54"/>
      <c r="D59" s="54"/>
      <c r="E59" s="97">
        <f>Balans!E7/Balans!E$16</f>
        <v>0.38216560509554143</v>
      </c>
      <c r="F59" s="97">
        <f>Balans!F7/Balans!F$16</f>
        <v>0.47297297297297297</v>
      </c>
      <c r="G59" s="97">
        <f>Balans!G7/Balans!G$16</f>
        <v>0.55670156517181568</v>
      </c>
      <c r="H59" s="97">
        <f>Balans!H7/Balans!H$16</f>
        <v>0.38690488884096591</v>
      </c>
      <c r="I59" s="97">
        <f>Balans!I7/Balans!I$16</f>
        <v>0.73346007384352629</v>
      </c>
      <c r="J59" s="97">
        <f>Balans!J7/Balans!J$16</f>
        <v>0.7255040380801665</v>
      </c>
      <c r="K59" s="97">
        <f>Balans!K7/Balans!K$16</f>
        <v>0.76155870883316523</v>
      </c>
      <c r="L59" s="54"/>
      <c r="M59" s="54" t="s">
        <v>138</v>
      </c>
      <c r="N59" s="54"/>
      <c r="O59" s="54"/>
    </row>
    <row r="60" spans="2:15" s="44" customFormat="1" ht="13.8" outlineLevel="1" x14ac:dyDescent="0.3">
      <c r="B60" s="55" t="str">
        <f>Balans!B8</f>
        <v>Vaste Activa</v>
      </c>
      <c r="C60" s="55"/>
      <c r="D60" s="55"/>
      <c r="E60" s="98">
        <f>Balans!E8/Balans!E$16</f>
        <v>0.38216560509554143</v>
      </c>
      <c r="F60" s="98">
        <f>Balans!F8/Balans!F$16</f>
        <v>0.47297297297297297</v>
      </c>
      <c r="G60" s="98">
        <f>Balans!G8/Balans!G$16</f>
        <v>0.55670156517181568</v>
      </c>
      <c r="H60" s="98">
        <f>Balans!H8/Balans!H$16</f>
        <v>0.38690488884096591</v>
      </c>
      <c r="I60" s="98">
        <f>Balans!I8/Balans!I$16</f>
        <v>0.73346007384352629</v>
      </c>
      <c r="J60" s="98">
        <f>Balans!J8/Balans!J$16</f>
        <v>0.7255040380801665</v>
      </c>
      <c r="K60" s="98">
        <f>Balans!K8/Balans!K$16</f>
        <v>0.76155870883316523</v>
      </c>
      <c r="L60" s="54"/>
      <c r="M60" s="54"/>
      <c r="N60" s="54"/>
      <c r="O60" s="54"/>
    </row>
    <row r="61" spans="2:15" s="44" customFormat="1" ht="13.8" outlineLevel="1" x14ac:dyDescent="0.3">
      <c r="B61" s="54"/>
      <c r="C61" s="54"/>
      <c r="D61" s="54"/>
      <c r="E61" s="97"/>
      <c r="F61" s="97"/>
      <c r="G61" s="97"/>
      <c r="H61" s="97"/>
      <c r="I61" s="97"/>
      <c r="J61" s="97"/>
      <c r="K61" s="97"/>
      <c r="L61" s="54"/>
      <c r="M61" s="54"/>
      <c r="N61" s="54"/>
      <c r="O61" s="54"/>
    </row>
    <row r="62" spans="2:15" s="44" customFormat="1" ht="13.8" outlineLevel="1" x14ac:dyDescent="0.3">
      <c r="B62" s="54" t="str">
        <f>Balans!B10</f>
        <v>Voorraden</v>
      </c>
      <c r="C62" s="54"/>
      <c r="D62" s="54"/>
      <c r="E62" s="97">
        <f>Balans!E10/Balans!E$16</f>
        <v>7.9617834394904455E-2</v>
      </c>
      <c r="F62" s="97">
        <f>Balans!F10/Balans!F$16</f>
        <v>3.3783783783783786E-2</v>
      </c>
      <c r="G62" s="97">
        <f>Balans!G10/Balans!G$16</f>
        <v>3.5711332375606496E-2</v>
      </c>
      <c r="H62" s="97">
        <f>Balans!H10/Balans!H$16</f>
        <v>2.6276320944242437E-2</v>
      </c>
      <c r="I62" s="97">
        <f>Balans!I10/Balans!I$16</f>
        <v>3.2642321356347252E-2</v>
      </c>
      <c r="J62" s="97">
        <f>Balans!J10/Balans!J$16</f>
        <v>3.5286435296165777E-2</v>
      </c>
      <c r="K62" s="97">
        <f>Balans!K10/Balans!K$16</f>
        <v>3.7780831679552616E-2</v>
      </c>
      <c r="L62" s="54"/>
      <c r="M62" s="54"/>
      <c r="N62" s="54"/>
      <c r="O62" s="54"/>
    </row>
    <row r="63" spans="2:15" s="44" customFormat="1" ht="13.8" outlineLevel="1" x14ac:dyDescent="0.3">
      <c r="B63" s="54" t="str">
        <f>Balans!B11</f>
        <v>Debiteuren</v>
      </c>
      <c r="C63" s="54"/>
      <c r="D63" s="54"/>
      <c r="E63" s="97">
        <f>Balans!E11/Balans!E$16</f>
        <v>0.19108280254777071</v>
      </c>
      <c r="F63" s="97">
        <f>Balans!F11/Balans!F$16</f>
        <v>0.20608108108108109</v>
      </c>
      <c r="G63" s="97">
        <f>Balans!G11/Balans!G$16</f>
        <v>0.15304856732402786</v>
      </c>
      <c r="H63" s="97">
        <f>Balans!H11/Balans!H$16</f>
        <v>0.11261280404675329</v>
      </c>
      <c r="I63" s="97">
        <f>Balans!I11/Balans!I$16</f>
        <v>0.13989566295577394</v>
      </c>
      <c r="J63" s="97">
        <f>Balans!J11/Balans!J$16</f>
        <v>0.1512275798407105</v>
      </c>
      <c r="K63" s="97">
        <f>Balans!K11/Balans!K$16</f>
        <v>0.16191785005522552</v>
      </c>
      <c r="L63" s="54"/>
      <c r="M63" s="54"/>
      <c r="N63" s="54"/>
      <c r="O63" s="54"/>
    </row>
    <row r="64" spans="2:15" s="44" customFormat="1" ht="13.8" outlineLevel="1" x14ac:dyDescent="0.3">
      <c r="B64" s="54" t="str">
        <f>Balans!B12</f>
        <v>Overige kortlopende activa</v>
      </c>
      <c r="C64" s="54"/>
      <c r="D64" s="54"/>
      <c r="E64" s="97">
        <f>Balans!E12/Balans!E$16</f>
        <v>1.5923566878980892E-2</v>
      </c>
      <c r="F64" s="97">
        <f>Balans!F12/Balans!F$16</f>
        <v>2.0270270270270271E-2</v>
      </c>
      <c r="G64" s="97">
        <f>Balans!G12/Balans!G$16</f>
        <v>1.1172545414654034E-2</v>
      </c>
      <c r="H64" s="97">
        <f>Balans!H12/Balans!H$16</f>
        <v>8.2207346954129897E-3</v>
      </c>
      <c r="I64" s="97">
        <f>Balans!I12/Balans!I$16</f>
        <v>1.0212383395771497E-2</v>
      </c>
      <c r="J64" s="97">
        <f>Balans!J12/Balans!J$16</f>
        <v>1.1039613328371866E-2</v>
      </c>
      <c r="K64" s="97">
        <f>Balans!K12/Balans!K$16</f>
        <v>1.1820003054031461E-2</v>
      </c>
      <c r="L64" s="54"/>
      <c r="M64" s="54"/>
      <c r="N64" s="54"/>
      <c r="O64" s="54"/>
    </row>
    <row r="65" spans="2:15" s="44" customFormat="1" ht="13.8" outlineLevel="1" x14ac:dyDescent="0.3">
      <c r="B65" s="54" t="str">
        <f>Balans!B13</f>
        <v>Liquide Middelen</v>
      </c>
      <c r="C65" s="54"/>
      <c r="D65" s="54"/>
      <c r="E65" s="97">
        <f>Balans!E13/Balans!E$16</f>
        <v>0.33121019108280253</v>
      </c>
      <c r="F65" s="97">
        <f>Balans!F13/Balans!F$16</f>
        <v>0.26689189189189189</v>
      </c>
      <c r="G65" s="97">
        <f>Balans!G13/Balans!G$16</f>
        <v>0.24336598971389592</v>
      </c>
      <c r="H65" s="97">
        <f>Balans!H13/Balans!H$16</f>
        <v>0.46598525147262537</v>
      </c>
      <c r="I65" s="97">
        <f>Balans!I13/Balans!I$16</f>
        <v>8.378955844858102E-2</v>
      </c>
      <c r="J65" s="97">
        <f>Balans!J13/Balans!J$16</f>
        <v>7.6942333454585385E-2</v>
      </c>
      <c r="K65" s="97">
        <f>Balans!K13/Balans!K$16</f>
        <v>2.6922606378025193E-2</v>
      </c>
      <c r="L65" s="54"/>
      <c r="M65" s="54"/>
      <c r="N65" s="54"/>
      <c r="O65" s="54"/>
    </row>
    <row r="66" spans="2:15" s="44" customFormat="1" ht="13.8" outlineLevel="1" x14ac:dyDescent="0.3">
      <c r="B66" s="55" t="str">
        <f>Balans!B14</f>
        <v>Vlottende Activa</v>
      </c>
      <c r="C66" s="55"/>
      <c r="D66" s="55"/>
      <c r="E66" s="98">
        <f>Balans!E14/Balans!E$16</f>
        <v>0.61783439490445857</v>
      </c>
      <c r="F66" s="98">
        <f>Balans!F14/Balans!F$16</f>
        <v>0.52702702702702697</v>
      </c>
      <c r="G66" s="98">
        <f>Balans!G14/Balans!G$16</f>
        <v>0.44329843482818426</v>
      </c>
      <c r="H66" s="98">
        <f>Balans!H14/Balans!H$16</f>
        <v>0.61309511115903415</v>
      </c>
      <c r="I66" s="98">
        <f>Balans!I14/Balans!I$16</f>
        <v>0.26653992615647371</v>
      </c>
      <c r="J66" s="98">
        <f>Balans!J14/Balans!J$16</f>
        <v>0.2744959619198335</v>
      </c>
      <c r="K66" s="98">
        <f>Balans!K14/Balans!K$16</f>
        <v>0.2384412911668348</v>
      </c>
      <c r="L66" s="54"/>
      <c r="M66" s="54"/>
      <c r="N66" s="54"/>
      <c r="O66" s="54"/>
    </row>
    <row r="67" spans="2:15" s="44" customFormat="1" ht="13.8" outlineLevel="1" x14ac:dyDescent="0.3">
      <c r="B67" s="55"/>
      <c r="C67" s="55"/>
      <c r="D67" s="55"/>
      <c r="E67" s="99"/>
      <c r="F67" s="99"/>
      <c r="G67" s="99"/>
      <c r="H67" s="99"/>
      <c r="I67" s="99"/>
      <c r="J67" s="99"/>
      <c r="K67" s="99"/>
      <c r="L67" s="54"/>
      <c r="M67" s="54"/>
      <c r="N67" s="54"/>
      <c r="O67" s="54"/>
    </row>
    <row r="68" spans="2:15" s="44" customFormat="1" outlineLevel="1" thickBot="1" x14ac:dyDescent="0.35">
      <c r="B68" s="55" t="str">
        <f>Balans!B16</f>
        <v>Activa Totaal</v>
      </c>
      <c r="C68" s="55"/>
      <c r="D68" s="55"/>
      <c r="E68" s="100">
        <f>Balans!E16/Balans!E$16</f>
        <v>1</v>
      </c>
      <c r="F68" s="100">
        <f>Balans!F16/Balans!F$16</f>
        <v>1</v>
      </c>
      <c r="G68" s="100">
        <f>Balans!G16/Balans!G$16</f>
        <v>1</v>
      </c>
      <c r="H68" s="100">
        <f>Balans!H16/Balans!H$16</f>
        <v>1</v>
      </c>
      <c r="I68" s="100">
        <f>Balans!I16/Balans!I$16</f>
        <v>1</v>
      </c>
      <c r="J68" s="100">
        <f>Balans!J16/Balans!J$16</f>
        <v>1</v>
      </c>
      <c r="K68" s="100">
        <f>Balans!K16/Balans!K$16</f>
        <v>1</v>
      </c>
      <c r="L68" s="54"/>
      <c r="M68" s="54" t="s">
        <v>139</v>
      </c>
      <c r="N68" s="54"/>
      <c r="O68" s="54"/>
    </row>
    <row r="69" spans="2:15" s="44" customFormat="1" outlineLevel="1" thickTop="1" x14ac:dyDescent="0.3">
      <c r="B69" s="54"/>
      <c r="C69" s="54"/>
      <c r="D69" s="54"/>
      <c r="E69" s="97"/>
      <c r="F69" s="97"/>
      <c r="G69" s="97"/>
      <c r="H69" s="97"/>
      <c r="I69" s="97"/>
      <c r="J69" s="97"/>
      <c r="K69" s="97"/>
      <c r="L69" s="54"/>
      <c r="M69" s="54"/>
      <c r="N69" s="54"/>
      <c r="O69" s="54"/>
    </row>
    <row r="70" spans="2:15" s="44" customFormat="1" ht="13.8" outlineLevel="1" x14ac:dyDescent="0.3">
      <c r="B70" s="55" t="str">
        <f>Balans!B18</f>
        <v>Eigen Vermogen</v>
      </c>
      <c r="C70" s="55"/>
      <c r="D70" s="55"/>
      <c r="E70" s="99">
        <f>Balans!E18/Balans!E$16</f>
        <v>0.31847133757961782</v>
      </c>
      <c r="F70" s="99">
        <f>Balans!F18/Balans!F$16</f>
        <v>0.47972972972972971</v>
      </c>
      <c r="G70" s="99">
        <f>Balans!G18/Balans!G$16</f>
        <v>0.58888287240123438</v>
      </c>
      <c r="H70" s="99">
        <f>Balans!H18/Balans!H$16</f>
        <v>0.46596249527537204</v>
      </c>
      <c r="I70" s="99">
        <f>Balans!I18/Balans!I$16</f>
        <v>0.55973059800302294</v>
      </c>
      <c r="J70" s="99">
        <f>Balans!J18/Balans!J$16</f>
        <v>0.6743947385040242</v>
      </c>
      <c r="K70" s="99">
        <f>Balans!K18/Balans!K$16</f>
        <v>0.73729553785111557</v>
      </c>
      <c r="L70" s="54"/>
      <c r="M70" s="54" t="s">
        <v>243</v>
      </c>
      <c r="N70" s="54"/>
      <c r="O70" s="54"/>
    </row>
    <row r="71" spans="2:15" s="44" customFormat="1" ht="13.8" outlineLevel="1" x14ac:dyDescent="0.3">
      <c r="B71" s="54"/>
      <c r="C71" s="54"/>
      <c r="D71" s="54"/>
      <c r="E71" s="97"/>
      <c r="F71" s="97"/>
      <c r="G71" s="97"/>
      <c r="H71" s="97"/>
      <c r="I71" s="97"/>
      <c r="J71" s="97"/>
      <c r="K71" s="97"/>
      <c r="L71" s="54"/>
      <c r="M71" s="54"/>
      <c r="N71" s="54"/>
      <c r="O71" s="54"/>
    </row>
    <row r="72" spans="2:15" s="44" customFormat="1" ht="13.8" outlineLevel="1" x14ac:dyDescent="0.3">
      <c r="B72" s="55" t="str">
        <f>Balans!B20</f>
        <v>Voorzieningen</v>
      </c>
      <c r="C72" s="55"/>
      <c r="D72" s="55"/>
      <c r="E72" s="99">
        <f>Balans!E20/Balans!E$16</f>
        <v>0.19108280254777071</v>
      </c>
      <c r="F72" s="99">
        <f>Balans!F20/Balans!F$16</f>
        <v>3.3783783783783786E-2</v>
      </c>
      <c r="G72" s="99">
        <f>Balans!G20/Balans!G$16</f>
        <v>0.10431881806399658</v>
      </c>
      <c r="H72" s="99">
        <f>Balans!H20/Balans!H$16</f>
        <v>2.3154618455885498E-2</v>
      </c>
      <c r="I72" s="99">
        <f>Balans!I20/Balans!I$16</f>
        <v>2.6186005340932982E-2</v>
      </c>
      <c r="J72" s="99">
        <f>Balans!J20/Balans!J$16</f>
        <v>2.5901958802584613E-2</v>
      </c>
      <c r="K72" s="99">
        <f>Balans!K20/Balans!K$16</f>
        <v>2.718918333541586E-2</v>
      </c>
      <c r="L72" s="54"/>
      <c r="M72" s="54"/>
      <c r="N72" s="54"/>
      <c r="O72" s="54"/>
    </row>
    <row r="73" spans="2:15" s="44" customFormat="1" ht="13.8" outlineLevel="1" x14ac:dyDescent="0.3">
      <c r="B73" s="54"/>
      <c r="C73" s="54"/>
      <c r="D73" s="54"/>
      <c r="E73" s="97"/>
      <c r="F73" s="97"/>
      <c r="G73" s="97"/>
      <c r="H73" s="97"/>
      <c r="I73" s="97"/>
      <c r="J73" s="97"/>
      <c r="K73" s="97"/>
      <c r="L73" s="54"/>
      <c r="M73" s="54"/>
      <c r="N73" s="54"/>
      <c r="O73" s="54"/>
    </row>
    <row r="74" spans="2:15" s="44" customFormat="1" ht="13.8" outlineLevel="1" x14ac:dyDescent="0.3">
      <c r="B74" s="55" t="str">
        <f>Balans!B22</f>
        <v>Langlopende Schulden (LLS)</v>
      </c>
      <c r="C74" s="55"/>
      <c r="D74" s="55"/>
      <c r="E74" s="99">
        <f>Balans!E22/Balans!E$16</f>
        <v>0.22292993630573249</v>
      </c>
      <c r="F74" s="99">
        <f>Balans!F22/Balans!F$16</f>
        <v>0.20270270270270271</v>
      </c>
      <c r="G74" s="99">
        <f>Balans!G22/Balans!G$16</f>
        <v>0.10431881806399658</v>
      </c>
      <c r="H74" s="99">
        <f>Balans!H22/Balans!H$16</f>
        <v>0.20839156610296947</v>
      </c>
      <c r="I74" s="99">
        <f>Balans!I22/Balans!I$16</f>
        <v>0.1571160320455979</v>
      </c>
      <c r="J74" s="99">
        <f>Balans!J22/Balans!J$16</f>
        <v>0.10360783521033845</v>
      </c>
      <c r="K74" s="99">
        <f>Balans!K22/Balans!K$16</f>
        <v>5.4378366670831721E-2</v>
      </c>
      <c r="L74" s="54"/>
      <c r="M74" s="54"/>
      <c r="N74" s="54"/>
      <c r="O74" s="54"/>
    </row>
    <row r="75" spans="2:15" s="44" customFormat="1" ht="13.8" outlineLevel="1" x14ac:dyDescent="0.3">
      <c r="B75" s="54"/>
      <c r="C75" s="54"/>
      <c r="D75" s="54"/>
      <c r="E75" s="97"/>
      <c r="F75" s="97"/>
      <c r="G75" s="97"/>
      <c r="H75" s="97"/>
      <c r="I75" s="97"/>
      <c r="J75" s="97"/>
      <c r="K75" s="97"/>
      <c r="L75" s="54"/>
      <c r="M75" s="54"/>
      <c r="N75" s="54"/>
      <c r="O75" s="54"/>
    </row>
    <row r="76" spans="2:15" s="44" customFormat="1" ht="13.8" outlineLevel="1" x14ac:dyDescent="0.3">
      <c r="B76" s="54" t="str">
        <f>Balans!B24</f>
        <v>Kortlopend deel LLS</v>
      </c>
      <c r="C76" s="54"/>
      <c r="D76" s="54"/>
      <c r="E76" s="97">
        <f>Balans!E24/Balans!E$16</f>
        <v>3.1847133757961783E-2</v>
      </c>
      <c r="F76" s="97">
        <f>Balans!F24/Balans!F$16</f>
        <v>3.3783783783783786E-2</v>
      </c>
      <c r="G76" s="97">
        <f>Balans!G24/Balans!G$16</f>
        <v>6.9545878709331058E-2</v>
      </c>
      <c r="H76" s="97">
        <f>Balans!H24/Balans!H$16</f>
        <v>9.2618473823541991E-2</v>
      </c>
      <c r="I76" s="97">
        <f>Balans!I24/Balans!I$16</f>
        <v>7.8558016022798952E-2</v>
      </c>
      <c r="J76" s="97">
        <f>Balans!J24/Balans!J$16</f>
        <v>7.7705876407753838E-2</v>
      </c>
      <c r="K76" s="97">
        <f>Balans!K24/Balans!K$16</f>
        <v>5.4378366670831721E-2</v>
      </c>
      <c r="L76" s="54"/>
      <c r="M76" s="54"/>
      <c r="N76" s="54"/>
      <c r="O76" s="54"/>
    </row>
    <row r="77" spans="2:15" s="44" customFormat="1" ht="13.8" outlineLevel="1" x14ac:dyDescent="0.3">
      <c r="B77" s="54" t="str">
        <f>Balans!B25</f>
        <v>Kortlopende schulden rentedragend</v>
      </c>
      <c r="C77" s="54"/>
      <c r="D77" s="54"/>
      <c r="E77" s="97">
        <f>Balans!E25/Balans!E$16</f>
        <v>1.2738853503184714E-2</v>
      </c>
      <c r="F77" s="97">
        <f>Balans!F25/Balans!F$16</f>
        <v>1.3513513513513514E-2</v>
      </c>
      <c r="G77" s="97">
        <f>Balans!G25/Balans!G$16</f>
        <v>0</v>
      </c>
      <c r="H77" s="97">
        <f>Balans!H25/Balans!H$16</f>
        <v>0.11577309227942748</v>
      </c>
      <c r="I77" s="97">
        <f>Balans!I25/Balans!I$16</f>
        <v>6.5465013352332457E-2</v>
      </c>
      <c r="J77" s="97">
        <f>Balans!J25/Balans!J$16</f>
        <v>0</v>
      </c>
      <c r="K77" s="97">
        <f>Balans!K25/Balans!K$16</f>
        <v>0</v>
      </c>
      <c r="L77" s="54"/>
      <c r="M77" s="54"/>
      <c r="N77" s="54"/>
      <c r="O77" s="54"/>
    </row>
    <row r="78" spans="2:15" s="44" customFormat="1" ht="13.8" outlineLevel="1" x14ac:dyDescent="0.3">
      <c r="B78" s="54" t="str">
        <f>Balans!B26</f>
        <v>Crediteuren</v>
      </c>
      <c r="C78" s="54"/>
      <c r="D78" s="54"/>
      <c r="E78" s="97">
        <f>Balans!E26/Balans!E$16</f>
        <v>0.12738853503184713</v>
      </c>
      <c r="F78" s="97">
        <f>Balans!F26/Balans!F$16</f>
        <v>0.15202702702702703</v>
      </c>
      <c r="G78" s="97">
        <f>Balans!G26/Balans!G$16</f>
        <v>7.7070885688171178E-2</v>
      </c>
      <c r="H78" s="97">
        <f>Balans!H26/Balans!H$16</f>
        <v>5.2996080585738577E-2</v>
      </c>
      <c r="I78" s="97">
        <f>Balans!I26/Balans!I$16</f>
        <v>6.1882418256457135E-2</v>
      </c>
      <c r="J78" s="97">
        <f>Balans!J26/Balans!J$16</f>
        <v>6.3191524433439741E-2</v>
      </c>
      <c r="K78" s="97">
        <f>Balans!K26/Balans!K$16</f>
        <v>6.7658530201647804E-2</v>
      </c>
      <c r="L78" s="54"/>
      <c r="M78" s="54"/>
      <c r="N78" s="54"/>
      <c r="O78" s="54"/>
    </row>
    <row r="79" spans="2:15" s="44" customFormat="1" ht="13.8" outlineLevel="1" x14ac:dyDescent="0.3">
      <c r="B79" s="54" t="str">
        <f>Balans!B27</f>
        <v>Overige kortlopende passiva</v>
      </c>
      <c r="C79" s="54"/>
      <c r="D79" s="54"/>
      <c r="E79" s="97">
        <f>Balans!E27/Balans!E$16</f>
        <v>9.5541401273885357E-2</v>
      </c>
      <c r="F79" s="97">
        <f>Balans!F27/Balans!F$16</f>
        <v>8.4459459459459457E-2</v>
      </c>
      <c r="G79" s="97">
        <f>Balans!G27/Balans!G$16</f>
        <v>5.5862727073270162E-2</v>
      </c>
      <c r="H79" s="97">
        <f>Balans!H27/Balans!H$16</f>
        <v>4.110367347706495E-2</v>
      </c>
      <c r="I79" s="97">
        <f>Balans!I27/Balans!I$16</f>
        <v>5.1061916978857487E-2</v>
      </c>
      <c r="J79" s="97">
        <f>Balans!J27/Balans!J$16</f>
        <v>5.5198066641859327E-2</v>
      </c>
      <c r="K79" s="97">
        <f>Balans!K27/Balans!K$16</f>
        <v>5.9100015270157305E-2</v>
      </c>
      <c r="L79" s="54"/>
      <c r="M79" s="54"/>
      <c r="N79" s="54"/>
      <c r="O79" s="54"/>
    </row>
    <row r="80" spans="2:15" s="44" customFormat="1" ht="13.8" outlineLevel="1" x14ac:dyDescent="0.3">
      <c r="B80" s="46" t="str">
        <f>Balans!B28</f>
        <v>Vlottende Passiva</v>
      </c>
      <c r="C80" s="46"/>
      <c r="D80" s="46"/>
      <c r="E80" s="98">
        <f>Balans!E28/Balans!E$16</f>
        <v>0.26751592356687898</v>
      </c>
      <c r="F80" s="98">
        <f>Balans!F28/Balans!F$16</f>
        <v>0.28378378378378377</v>
      </c>
      <c r="G80" s="98">
        <f>Balans!G28/Balans!G$16</f>
        <v>0.2024794914707724</v>
      </c>
      <c r="H80" s="98">
        <f>Balans!H28/Balans!H$16</f>
        <v>0.30249132016577301</v>
      </c>
      <c r="I80" s="98">
        <f>Balans!I28/Balans!I$16</f>
        <v>0.25696736461044606</v>
      </c>
      <c r="J80" s="98">
        <f>Balans!J28/Balans!J$16</f>
        <v>0.1960954674830529</v>
      </c>
      <c r="K80" s="98">
        <f>Balans!K28/Balans!K$16</f>
        <v>0.18113691214263683</v>
      </c>
      <c r="L80" s="54"/>
      <c r="M80" s="54"/>
      <c r="N80" s="54"/>
      <c r="O80" s="54"/>
    </row>
    <row r="81" spans="2:15" s="44" customFormat="1" ht="13.8" outlineLevel="1" x14ac:dyDescent="0.3">
      <c r="E81" s="97"/>
      <c r="F81" s="97"/>
      <c r="G81" s="97"/>
      <c r="H81" s="97"/>
      <c r="I81" s="97"/>
      <c r="J81" s="97"/>
      <c r="K81" s="97"/>
      <c r="L81" s="54"/>
      <c r="M81" s="54"/>
      <c r="N81" s="54"/>
      <c r="O81" s="54"/>
    </row>
    <row r="82" spans="2:15" s="44" customFormat="1" outlineLevel="1" thickBot="1" x14ac:dyDescent="0.35">
      <c r="B82" s="46" t="str">
        <f>Balans!B30</f>
        <v>Passiva Totaal</v>
      </c>
      <c r="C82" s="46"/>
      <c r="D82" s="46"/>
      <c r="E82" s="100">
        <f>Balans!E30/Balans!E$16</f>
        <v>1</v>
      </c>
      <c r="F82" s="100">
        <f>Balans!F30/Balans!F$16</f>
        <v>1</v>
      </c>
      <c r="G82" s="100">
        <f>Balans!G30/Balans!G$16</f>
        <v>0.99999999999999978</v>
      </c>
      <c r="H82" s="100">
        <f>Balans!H30/Balans!H$16</f>
        <v>1</v>
      </c>
      <c r="I82" s="100">
        <f>Balans!I30/Balans!I$16</f>
        <v>0.99999999999999989</v>
      </c>
      <c r="J82" s="100">
        <f>Balans!J30/Balans!J$16</f>
        <v>1.0000000000000002</v>
      </c>
      <c r="K82" s="100">
        <f>Balans!K30/Balans!K$16</f>
        <v>1</v>
      </c>
      <c r="L82" s="54"/>
      <c r="M82" s="54"/>
      <c r="N82" s="54"/>
      <c r="O82" s="54"/>
    </row>
    <row r="83" spans="2:15" s="44" customFormat="1" thickTop="1" x14ac:dyDescent="0.3">
      <c r="L83" s="54"/>
      <c r="M83" s="54"/>
      <c r="N83" s="54"/>
      <c r="O83" s="54"/>
    </row>
    <row r="84" spans="2:15" s="44" customFormat="1" ht="13.8" x14ac:dyDescent="0.3">
      <c r="L84" s="54"/>
      <c r="M84" s="54"/>
      <c r="N84" s="54"/>
      <c r="O84" s="54"/>
    </row>
  </sheetData>
  <conditionalFormatting sqref="P2">
    <cfRule type="cellIs" dxfId="37" priority="1" operator="notEqual">
      <formula>0</formula>
    </cfRule>
    <cfRule type="cellIs" dxfId="36" priority="2" operator="equal">
      <formula>0</formula>
    </cfRule>
  </conditionalFormatting>
  <pageMargins left="0.7" right="0.7" top="0.75" bottom="0.75" header="0.3" footer="0.3"/>
  <pageSetup paperSize="9" scale="7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1741-1150-447B-9A6B-04A113DE3261}">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9A12-7009-4A3F-855F-9AED8A3A1169}">
  <dimension ref="B1:P95"/>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21875" customWidth="1"/>
    <col min="2" max="2" width="33.6640625" customWidth="1"/>
    <col min="3" max="4" width="1.5546875" customWidth="1"/>
  </cols>
  <sheetData>
    <row r="1" spans="2:16" x14ac:dyDescent="0.3">
      <c r="K1" s="43" t="s">
        <v>33</v>
      </c>
    </row>
    <row r="2" spans="2:16" ht="15.6" x14ac:dyDescent="0.3">
      <c r="B2" s="34" t="s">
        <v>276</v>
      </c>
      <c r="C2" s="35"/>
      <c r="D2" s="35"/>
      <c r="E2" s="42"/>
      <c r="F2" s="26" t="s">
        <v>375</v>
      </c>
      <c r="G2" s="26"/>
      <c r="H2" s="200">
        <f>ErrorChecks!B5</f>
        <v>0</v>
      </c>
    </row>
    <row r="3" spans="2:16" x14ac:dyDescent="0.3">
      <c r="B3" s="36"/>
      <c r="C3" s="36"/>
      <c r="D3" s="36"/>
      <c r="E3" s="37"/>
      <c r="F3" s="37"/>
    </row>
    <row r="4" spans="2:16" x14ac:dyDescent="0.3">
      <c r="B4" s="38" t="s">
        <v>19</v>
      </c>
      <c r="C4" s="38"/>
      <c r="D4" s="38"/>
      <c r="E4" s="31"/>
      <c r="F4" s="31"/>
    </row>
    <row r="5" spans="2:16" s="2" customFormat="1" x14ac:dyDescent="0.3">
      <c r="B5" s="131" t="s">
        <v>267</v>
      </c>
      <c r="C5" s="132"/>
      <c r="D5" s="131"/>
      <c r="E5" s="132"/>
      <c r="F5" s="132"/>
      <c r="G5" s="132"/>
      <c r="H5" s="132"/>
      <c r="I5" s="132"/>
      <c r="J5" s="132"/>
      <c r="K5" s="132"/>
      <c r="L5" s="50"/>
      <c r="M5" s="50"/>
      <c r="N5" s="17"/>
      <c r="O5" s="17"/>
      <c r="P5" s="20"/>
    </row>
    <row r="6" spans="2:16" outlineLevel="1" x14ac:dyDescent="0.3">
      <c r="B6" s="44"/>
      <c r="C6" s="44"/>
      <c r="D6" s="44"/>
      <c r="E6" s="51"/>
      <c r="F6" s="51"/>
      <c r="G6" s="44"/>
      <c r="H6" s="44"/>
      <c r="I6" s="44"/>
      <c r="J6" s="44"/>
      <c r="K6" s="44"/>
      <c r="L6" s="44"/>
      <c r="M6" s="44"/>
    </row>
    <row r="7" spans="2:16" outlineLevel="1" x14ac:dyDescent="0.3">
      <c r="B7" s="44" t="s">
        <v>348</v>
      </c>
      <c r="C7" s="44"/>
      <c r="D7" s="44"/>
      <c r="E7" s="120">
        <v>2026</v>
      </c>
      <c r="F7" s="45"/>
      <c r="G7" s="44"/>
      <c r="H7" s="44"/>
      <c r="I7" s="44"/>
      <c r="J7" s="44"/>
      <c r="K7" s="44"/>
      <c r="L7" s="44"/>
      <c r="M7" s="44" t="s">
        <v>268</v>
      </c>
    </row>
    <row r="8" spans="2:16" x14ac:dyDescent="0.3">
      <c r="B8" s="44"/>
      <c r="C8" s="44"/>
      <c r="D8" s="44"/>
      <c r="E8" s="45"/>
      <c r="F8" s="45"/>
      <c r="G8" s="44"/>
      <c r="H8" s="44"/>
      <c r="I8" s="44"/>
      <c r="J8" s="44"/>
      <c r="K8" s="44"/>
      <c r="L8" s="44"/>
      <c r="M8" s="44"/>
    </row>
    <row r="9" spans="2:16" s="2" customFormat="1" x14ac:dyDescent="0.3">
      <c r="B9" s="131" t="s">
        <v>273</v>
      </c>
      <c r="C9" s="132"/>
      <c r="D9" s="131"/>
      <c r="E9" s="132" t="str">
        <f>"R "&amp;E7-2</f>
        <v>R 2024</v>
      </c>
      <c r="F9" s="132" t="str">
        <f>"R "&amp;RIGHT(E9,4)+1</f>
        <v>R 2025</v>
      </c>
      <c r="G9" s="134" t="str">
        <f>"P "&amp;RIGHT(F9,4)+1</f>
        <v>P 2026</v>
      </c>
      <c r="H9" s="134" t="str">
        <f t="shared" ref="H9:K9" si="0">"P "&amp;RIGHT(G9,4)+1</f>
        <v>P 2027</v>
      </c>
      <c r="I9" s="134" t="str">
        <f t="shared" si="0"/>
        <v>P 2028</v>
      </c>
      <c r="J9" s="134" t="str">
        <f t="shared" si="0"/>
        <v>P 2029</v>
      </c>
      <c r="K9" s="134" t="str">
        <f t="shared" si="0"/>
        <v>P 2030</v>
      </c>
      <c r="L9" s="50"/>
      <c r="M9" s="84" t="s">
        <v>368</v>
      </c>
      <c r="N9" s="17"/>
      <c r="O9" s="17"/>
      <c r="P9" s="20"/>
    </row>
    <row r="10" spans="2:16" outlineLevel="1" x14ac:dyDescent="0.3">
      <c r="B10" s="44"/>
      <c r="C10" s="44"/>
      <c r="D10" s="44"/>
      <c r="E10" s="135"/>
      <c r="F10" s="135"/>
      <c r="G10" s="44"/>
      <c r="H10" s="44"/>
      <c r="I10" s="44"/>
      <c r="J10" s="44"/>
      <c r="K10" s="44"/>
      <c r="L10" s="44"/>
      <c r="M10" s="44"/>
    </row>
    <row r="11" spans="2:16" outlineLevel="1" x14ac:dyDescent="0.3">
      <c r="B11" s="44" t="str">
        <f>RR!B7</f>
        <v>Opbrengsten p*q</v>
      </c>
      <c r="C11" s="44"/>
      <c r="D11" s="44"/>
      <c r="E11" s="133">
        <v>500</v>
      </c>
      <c r="F11" s="133">
        <v>525</v>
      </c>
      <c r="G11" s="154"/>
      <c r="H11" s="154"/>
      <c r="I11" s="154"/>
      <c r="J11" s="154"/>
      <c r="K11" s="154"/>
      <c r="L11" s="44"/>
      <c r="M11" s="44"/>
    </row>
    <row r="12" spans="2:16" outlineLevel="1" x14ac:dyDescent="0.3">
      <c r="B12" s="44" t="str">
        <f>RR!B8</f>
        <v>Overige opbrengsten</v>
      </c>
      <c r="C12" s="44"/>
      <c r="D12" s="44"/>
      <c r="E12" s="133">
        <v>50</v>
      </c>
      <c r="F12" s="133">
        <v>55</v>
      </c>
      <c r="G12" s="154"/>
      <c r="H12" s="154"/>
      <c r="I12" s="154"/>
      <c r="J12" s="154"/>
      <c r="K12" s="154"/>
      <c r="L12" s="44"/>
      <c r="M12" s="44"/>
    </row>
    <row r="13" spans="2:16" s="2" customFormat="1" outlineLevel="1" x14ac:dyDescent="0.3">
      <c r="B13" s="46" t="str">
        <f>RR!B9</f>
        <v>Totale opbrengsten</v>
      </c>
      <c r="C13" s="46"/>
      <c r="D13" s="46"/>
      <c r="E13" s="136">
        <f>SUM(E11:E12)</f>
        <v>550</v>
      </c>
      <c r="F13" s="136">
        <f>SUM(F11:F12)</f>
        <v>580</v>
      </c>
      <c r="G13" s="155"/>
      <c r="H13" s="155"/>
      <c r="I13" s="155"/>
      <c r="J13" s="155"/>
      <c r="K13" s="155"/>
      <c r="L13" s="46"/>
      <c r="M13" s="46"/>
    </row>
    <row r="14" spans="2:16" ht="8.4" customHeight="1" outlineLevel="1" x14ac:dyDescent="0.3">
      <c r="B14" s="44"/>
      <c r="C14" s="44"/>
      <c r="D14" s="44"/>
      <c r="E14" s="137"/>
      <c r="F14" s="137"/>
      <c r="G14" s="154"/>
      <c r="H14" s="154"/>
      <c r="I14" s="154"/>
      <c r="J14" s="154"/>
      <c r="K14" s="154"/>
      <c r="L14" s="44"/>
      <c r="M14" s="44"/>
    </row>
    <row r="15" spans="2:16" outlineLevel="1" x14ac:dyDescent="0.3">
      <c r="B15" s="44" t="str">
        <f>RR!B11</f>
        <v>Personeelskosten</v>
      </c>
      <c r="C15" s="44"/>
      <c r="D15" s="44"/>
      <c r="E15" s="133">
        <v>-300</v>
      </c>
      <c r="F15" s="133">
        <v>-315</v>
      </c>
      <c r="G15" s="154"/>
      <c r="H15" s="154"/>
      <c r="I15" s="154"/>
      <c r="J15" s="154"/>
      <c r="K15" s="154"/>
      <c r="L15" s="44"/>
      <c r="M15" s="44"/>
    </row>
    <row r="16" spans="2:16" outlineLevel="1" x14ac:dyDescent="0.3">
      <c r="B16" s="44" t="str">
        <f>RR!B12</f>
        <v>Afschrijvingen</v>
      </c>
      <c r="C16" s="44"/>
      <c r="D16" s="44"/>
      <c r="E16" s="133">
        <v>-10</v>
      </c>
      <c r="F16" s="133">
        <v>-11</v>
      </c>
      <c r="G16" s="154"/>
      <c r="H16" s="154"/>
      <c r="I16" s="154"/>
      <c r="J16" s="154"/>
      <c r="K16" s="154"/>
      <c r="L16" s="44"/>
      <c r="M16" s="44"/>
    </row>
    <row r="17" spans="2:16" outlineLevel="1" x14ac:dyDescent="0.3">
      <c r="B17" s="44" t="str">
        <f>RR!B13</f>
        <v>Huisvestingslasten</v>
      </c>
      <c r="C17" s="44"/>
      <c r="D17" s="44"/>
      <c r="E17" s="133">
        <v>-140</v>
      </c>
      <c r="F17" s="133">
        <v>-150</v>
      </c>
      <c r="G17" s="154"/>
      <c r="H17" s="154"/>
      <c r="I17" s="154"/>
      <c r="J17" s="154"/>
      <c r="K17" s="154"/>
      <c r="L17" s="44"/>
      <c r="M17" s="44"/>
    </row>
    <row r="18" spans="2:16" outlineLevel="1" x14ac:dyDescent="0.3">
      <c r="B18" s="44" t="str">
        <f>RR!B14</f>
        <v>Overige kosten</v>
      </c>
      <c r="C18" s="44"/>
      <c r="D18" s="44"/>
      <c r="E18" s="133">
        <v>-25</v>
      </c>
      <c r="F18" s="133">
        <v>-26</v>
      </c>
      <c r="G18" s="154"/>
      <c r="H18" s="154"/>
      <c r="I18" s="154"/>
      <c r="J18" s="154"/>
      <c r="K18" s="154"/>
      <c r="L18" s="44"/>
      <c r="M18" s="44"/>
    </row>
    <row r="19" spans="2:16" s="2" customFormat="1" outlineLevel="1" x14ac:dyDescent="0.3">
      <c r="B19" s="46" t="str">
        <f>RR!B15</f>
        <v>Totale lasten</v>
      </c>
      <c r="C19" s="46"/>
      <c r="D19" s="46"/>
      <c r="E19" s="136">
        <f>SUM(E15:E18)</f>
        <v>-475</v>
      </c>
      <c r="F19" s="136">
        <f>SUM(F15:F18)</f>
        <v>-502</v>
      </c>
      <c r="G19" s="155"/>
      <c r="H19" s="155"/>
      <c r="I19" s="155"/>
      <c r="J19" s="155"/>
      <c r="K19" s="155"/>
      <c r="L19" s="46"/>
      <c r="M19" s="44"/>
    </row>
    <row r="20" spans="2:16" ht="8.4" customHeight="1" outlineLevel="1" x14ac:dyDescent="0.3">
      <c r="B20" s="44"/>
      <c r="C20" s="44"/>
      <c r="D20" s="44"/>
      <c r="E20" s="137"/>
      <c r="F20" s="137"/>
      <c r="G20" s="154"/>
      <c r="H20" s="154"/>
      <c r="I20" s="154"/>
      <c r="J20" s="154"/>
      <c r="K20" s="154"/>
      <c r="L20" s="44"/>
      <c r="M20" s="44"/>
    </row>
    <row r="21" spans="2:16" s="2" customFormat="1" outlineLevel="1" x14ac:dyDescent="0.3">
      <c r="B21" s="46" t="str">
        <f>RR!B17</f>
        <v>Operationeel resultaat (EBIT)</v>
      </c>
      <c r="C21" s="46"/>
      <c r="D21" s="46"/>
      <c r="E21" s="136">
        <f>E13+E19</f>
        <v>75</v>
      </c>
      <c r="F21" s="136">
        <f>F13+F19</f>
        <v>78</v>
      </c>
      <c r="G21" s="155"/>
      <c r="H21" s="155"/>
      <c r="I21" s="155"/>
      <c r="J21" s="155"/>
      <c r="K21" s="155"/>
      <c r="L21" s="46"/>
      <c r="M21" s="44"/>
      <c r="N21"/>
      <c r="O21"/>
      <c r="P21"/>
    </row>
    <row r="22" spans="2:16" ht="8.4" customHeight="1" outlineLevel="1" x14ac:dyDescent="0.3">
      <c r="B22" s="44"/>
      <c r="C22" s="44"/>
      <c r="D22" s="44"/>
      <c r="E22" s="137"/>
      <c r="F22" s="137"/>
      <c r="G22" s="154"/>
      <c r="H22" s="154"/>
      <c r="I22" s="154"/>
      <c r="J22" s="154"/>
      <c r="K22" s="154"/>
      <c r="L22" s="44"/>
      <c r="M22" s="44"/>
    </row>
    <row r="23" spans="2:16" outlineLevel="1" x14ac:dyDescent="0.3">
      <c r="B23" s="44" t="str">
        <f>RR!B19</f>
        <v>Niet-operationele baten/lasten</v>
      </c>
      <c r="C23" s="44"/>
      <c r="D23" s="44"/>
      <c r="E23" s="133">
        <v>0</v>
      </c>
      <c r="F23" s="133">
        <v>-10</v>
      </c>
      <c r="G23" s="155"/>
      <c r="H23" s="155"/>
      <c r="I23" s="155"/>
      <c r="J23" s="155"/>
      <c r="K23" s="155"/>
      <c r="L23" s="44"/>
      <c r="M23" s="44"/>
    </row>
    <row r="24" spans="2:16" outlineLevel="1" x14ac:dyDescent="0.3">
      <c r="B24" s="44" t="str">
        <f>RR!B20</f>
        <v>Verkoopresultaat vaste activa</v>
      </c>
      <c r="C24" s="44"/>
      <c r="D24" s="44"/>
      <c r="E24" s="133">
        <v>0</v>
      </c>
      <c r="F24" s="133">
        <v>14</v>
      </c>
      <c r="G24" s="155"/>
      <c r="H24" s="155"/>
      <c r="I24" s="155"/>
      <c r="J24" s="155"/>
      <c r="K24" s="155"/>
      <c r="L24" s="44"/>
      <c r="M24" s="44"/>
    </row>
    <row r="25" spans="2:16" outlineLevel="1" x14ac:dyDescent="0.3">
      <c r="B25" s="44" t="str">
        <f>RR!B21</f>
        <v>Financiële baten</v>
      </c>
      <c r="C25" s="44"/>
      <c r="D25" s="44"/>
      <c r="E25" s="133">
        <v>1</v>
      </c>
      <c r="F25" s="133">
        <v>2</v>
      </c>
      <c r="G25" s="155"/>
      <c r="H25" s="155"/>
      <c r="I25" s="155"/>
      <c r="J25" s="155"/>
      <c r="K25" s="155"/>
      <c r="L25" s="44"/>
      <c r="M25" s="44"/>
    </row>
    <row r="26" spans="2:16" outlineLevel="1" x14ac:dyDescent="0.3">
      <c r="B26" s="44" t="s">
        <v>317</v>
      </c>
      <c r="C26" s="44"/>
      <c r="D26" s="44"/>
      <c r="E26" s="133">
        <v>-4</v>
      </c>
      <c r="F26" s="133">
        <v>-4</v>
      </c>
      <c r="G26" s="155"/>
      <c r="H26" s="155"/>
      <c r="I26" s="155"/>
      <c r="J26" s="155"/>
      <c r="K26" s="155"/>
      <c r="L26" s="44"/>
      <c r="M26" s="44" t="s">
        <v>319</v>
      </c>
    </row>
    <row r="27" spans="2:16" outlineLevel="1" x14ac:dyDescent="0.3">
      <c r="B27" s="44" t="s">
        <v>318</v>
      </c>
      <c r="C27" s="44"/>
      <c r="D27" s="44"/>
      <c r="E27" s="133">
        <v>-1</v>
      </c>
      <c r="F27" s="133">
        <v>-2</v>
      </c>
      <c r="G27" s="155"/>
      <c r="H27" s="155"/>
      <c r="I27" s="155"/>
      <c r="J27" s="155"/>
      <c r="K27" s="155"/>
      <c r="L27" s="44"/>
      <c r="M27" s="44"/>
    </row>
    <row r="28" spans="2:16" s="2" customFormat="1" outlineLevel="1" x14ac:dyDescent="0.3">
      <c r="B28" s="46" t="str">
        <f>RR!B23</f>
        <v>Resultaat voor belastingen</v>
      </c>
      <c r="C28" s="46"/>
      <c r="D28" s="46"/>
      <c r="E28" s="136">
        <f>SUM(E21:E27)</f>
        <v>71</v>
      </c>
      <c r="F28" s="136">
        <f>SUM(F21:F27)</f>
        <v>78</v>
      </c>
      <c r="G28" s="155"/>
      <c r="H28" s="155"/>
      <c r="I28" s="155"/>
      <c r="J28" s="155"/>
      <c r="K28" s="155"/>
      <c r="L28" s="46"/>
      <c r="M28" s="46"/>
    </row>
    <row r="29" spans="2:16" s="2" customFormat="1" ht="9" customHeight="1" outlineLevel="1" x14ac:dyDescent="0.3">
      <c r="B29" s="46"/>
      <c r="C29" s="46"/>
      <c r="D29" s="46"/>
      <c r="E29" s="138"/>
      <c r="F29" s="138"/>
      <c r="G29" s="155"/>
      <c r="H29" s="155"/>
      <c r="I29" s="155"/>
      <c r="J29" s="155"/>
      <c r="K29" s="155"/>
      <c r="L29" s="46"/>
      <c r="M29" s="46"/>
    </row>
    <row r="30" spans="2:16" outlineLevel="1" x14ac:dyDescent="0.3">
      <c r="B30" s="44" t="str">
        <f>RR!B25</f>
        <v>Belastingen</v>
      </c>
      <c r="C30" s="44"/>
      <c r="D30" s="44"/>
      <c r="E30" s="133">
        <f>-8</f>
        <v>-8</v>
      </c>
      <c r="F30" s="133">
        <v>-25</v>
      </c>
      <c r="G30" s="155"/>
      <c r="H30" s="155"/>
      <c r="I30" s="155"/>
      <c r="J30" s="155"/>
      <c r="K30" s="155"/>
      <c r="L30" s="44"/>
      <c r="M30" s="44"/>
    </row>
    <row r="31" spans="2:16" s="2" customFormat="1" ht="15" outlineLevel="1" thickBot="1" x14ac:dyDescent="0.35">
      <c r="B31" s="46" t="str">
        <f>RR!B26</f>
        <v>Netto resultaat</v>
      </c>
      <c r="C31" s="46"/>
      <c r="D31" s="46"/>
      <c r="E31" s="139">
        <f>SUM(E28:E30)</f>
        <v>63</v>
      </c>
      <c r="F31" s="139">
        <f t="shared" ref="F31" si="1">SUM(F28:F30)</f>
        <v>53</v>
      </c>
      <c r="G31" s="155"/>
      <c r="H31" s="155"/>
      <c r="I31" s="155"/>
      <c r="J31" s="155"/>
      <c r="K31" s="155"/>
      <c r="L31" s="46"/>
      <c r="M31" s="46"/>
    </row>
    <row r="32" spans="2:16" ht="15" outlineLevel="1" thickTop="1" x14ac:dyDescent="0.3">
      <c r="B32" s="44"/>
      <c r="C32" s="44"/>
      <c r="D32" s="44"/>
      <c r="E32" s="137"/>
      <c r="F32" s="137"/>
      <c r="G32" s="154"/>
      <c r="H32" s="154"/>
      <c r="I32" s="154"/>
      <c r="J32" s="154"/>
      <c r="K32" s="154"/>
      <c r="L32" s="44"/>
      <c r="M32" s="44"/>
    </row>
    <row r="33" spans="2:16" s="3" customFormat="1" outlineLevel="1" x14ac:dyDescent="0.3">
      <c r="B33" s="52" t="str">
        <f>RR!B28</f>
        <v>Dividend uitkering</v>
      </c>
      <c r="C33" s="52"/>
      <c r="D33" s="52"/>
      <c r="E33" s="133">
        <v>10</v>
      </c>
      <c r="F33" s="133">
        <v>11</v>
      </c>
      <c r="G33" s="155"/>
      <c r="H33" s="155"/>
      <c r="I33" s="155"/>
      <c r="J33" s="155"/>
      <c r="K33" s="155"/>
      <c r="L33" s="52"/>
      <c r="M33" s="52"/>
    </row>
    <row r="34" spans="2:16" x14ac:dyDescent="0.3">
      <c r="B34" s="44"/>
      <c r="C34" s="44"/>
      <c r="D34" s="44"/>
      <c r="E34" s="140"/>
      <c r="F34" s="140"/>
    </row>
    <row r="35" spans="2:16" x14ac:dyDescent="0.3">
      <c r="B35" s="131" t="s">
        <v>274</v>
      </c>
      <c r="C35" s="132"/>
      <c r="D35" s="131"/>
      <c r="E35" s="132" t="str">
        <f>E9</f>
        <v>R 2024</v>
      </c>
      <c r="F35" s="132" t="str">
        <f>F9</f>
        <v>R 2025</v>
      </c>
      <c r="G35" s="134" t="str">
        <f>G9</f>
        <v>P 2026</v>
      </c>
      <c r="H35" s="134" t="str">
        <f>H9</f>
        <v>P 2027</v>
      </c>
      <c r="I35" s="134" t="str">
        <f>I9</f>
        <v>P 2028</v>
      </c>
      <c r="J35" s="134" t="str">
        <f>J9</f>
        <v>P 2029</v>
      </c>
      <c r="K35" s="134" t="str">
        <f>K9</f>
        <v>P 2030</v>
      </c>
      <c r="L35" s="50"/>
      <c r="M35" s="84" t="s">
        <v>369</v>
      </c>
      <c r="N35" s="17"/>
      <c r="O35" s="17"/>
      <c r="P35" s="20"/>
    </row>
    <row r="36" spans="2:16" outlineLevel="1" x14ac:dyDescent="0.3">
      <c r="B36" s="44"/>
      <c r="C36" s="44"/>
      <c r="D36" s="44"/>
      <c r="E36" s="53" t="str">
        <f>IF(E74=0,"OK","CHECK")</f>
        <v>OK</v>
      </c>
      <c r="F36" s="53" t="str">
        <f>IF(F74=0,"OK","CHECK")</f>
        <v>OK</v>
      </c>
      <c r="G36" s="44"/>
      <c r="H36" s="44"/>
      <c r="I36" s="44"/>
      <c r="J36" s="44"/>
      <c r="K36" s="44"/>
      <c r="L36" s="44"/>
      <c r="M36" s="44" t="s">
        <v>275</v>
      </c>
    </row>
    <row r="37" spans="2:16" outlineLevel="1" x14ac:dyDescent="0.3">
      <c r="B37" s="44"/>
      <c r="C37" s="44"/>
      <c r="D37" s="44"/>
      <c r="E37" s="135"/>
      <c r="F37" s="135"/>
      <c r="G37" s="44"/>
      <c r="H37" s="44"/>
      <c r="I37" s="44"/>
      <c r="J37" s="44"/>
      <c r="K37" s="44"/>
      <c r="L37" s="44"/>
      <c r="M37" s="44"/>
    </row>
    <row r="38" spans="2:16" outlineLevel="1" x14ac:dyDescent="0.3">
      <c r="B38" s="54" t="str">
        <f>Balans!B7</f>
        <v>Materiële Vaste Activa</v>
      </c>
      <c r="C38" s="54"/>
      <c r="D38" s="54"/>
      <c r="E38" s="133">
        <v>120</v>
      </c>
      <c r="F38" s="133">
        <v>140</v>
      </c>
      <c r="G38" s="155"/>
      <c r="H38" s="155"/>
      <c r="I38" s="155"/>
      <c r="J38" s="155"/>
      <c r="K38" s="155"/>
      <c r="L38" s="44"/>
      <c r="M38" s="44"/>
    </row>
    <row r="39" spans="2:16" outlineLevel="1" x14ac:dyDescent="0.3">
      <c r="B39" s="55" t="str">
        <f>Balans!B8</f>
        <v>Vaste Activa</v>
      </c>
      <c r="C39" s="55"/>
      <c r="D39" s="55"/>
      <c r="E39" s="136">
        <f t="shared" ref="E39:F39" si="2">SUM(E38:E38)</f>
        <v>120</v>
      </c>
      <c r="F39" s="136">
        <f t="shared" si="2"/>
        <v>140</v>
      </c>
      <c r="G39" s="155"/>
      <c r="H39" s="155"/>
      <c r="I39" s="155"/>
      <c r="J39" s="155"/>
      <c r="K39" s="155"/>
      <c r="L39" s="44"/>
      <c r="M39" s="44"/>
    </row>
    <row r="40" spans="2:16" outlineLevel="1" x14ac:dyDescent="0.3">
      <c r="B40" s="54"/>
      <c r="C40" s="54"/>
      <c r="D40" s="54"/>
      <c r="E40" s="137"/>
      <c r="F40" s="137"/>
      <c r="G40" s="154"/>
      <c r="H40" s="154"/>
      <c r="I40" s="154"/>
      <c r="J40" s="154"/>
      <c r="K40" s="154"/>
      <c r="L40" s="44"/>
      <c r="M40" s="44"/>
    </row>
    <row r="41" spans="2:16" outlineLevel="1" x14ac:dyDescent="0.3">
      <c r="B41" s="54" t="str">
        <f>Balans!B10</f>
        <v>Voorraden</v>
      </c>
      <c r="C41" s="54"/>
      <c r="D41" s="54"/>
      <c r="E41" s="133">
        <v>25</v>
      </c>
      <c r="F41" s="133">
        <v>10</v>
      </c>
      <c r="G41" s="155"/>
      <c r="H41" s="155"/>
      <c r="I41" s="155"/>
      <c r="J41" s="155"/>
      <c r="K41" s="155"/>
      <c r="L41" s="44"/>
      <c r="M41" s="44"/>
    </row>
    <row r="42" spans="2:16" outlineLevel="1" x14ac:dyDescent="0.3">
      <c r="B42" s="54" t="str">
        <f>Balans!B11</f>
        <v>Debiteuren</v>
      </c>
      <c r="C42" s="54"/>
      <c r="D42" s="54"/>
      <c r="E42" s="133">
        <v>60</v>
      </c>
      <c r="F42" s="133">
        <v>61</v>
      </c>
      <c r="G42" s="155"/>
      <c r="H42" s="155"/>
      <c r="I42" s="155"/>
      <c r="J42" s="155"/>
      <c r="K42" s="155"/>
      <c r="L42" s="44"/>
      <c r="M42" s="44"/>
    </row>
    <row r="43" spans="2:16" outlineLevel="1" x14ac:dyDescent="0.3">
      <c r="B43" s="54" t="str">
        <f>Balans!B12</f>
        <v>Overige kortlopende activa</v>
      </c>
      <c r="C43" s="54"/>
      <c r="D43" s="54"/>
      <c r="E43" s="133">
        <v>5</v>
      </c>
      <c r="F43" s="133">
        <v>6</v>
      </c>
      <c r="G43" s="155"/>
      <c r="H43" s="155"/>
      <c r="I43" s="155"/>
      <c r="J43" s="155"/>
      <c r="K43" s="155"/>
      <c r="L43" s="44"/>
      <c r="M43" s="44"/>
    </row>
    <row r="44" spans="2:16" outlineLevel="1" x14ac:dyDescent="0.3">
      <c r="B44" s="54" t="str">
        <f>Balans!B13</f>
        <v>Liquide Middelen</v>
      </c>
      <c r="C44" s="54"/>
      <c r="D44" s="54"/>
      <c r="E44" s="133">
        <v>104</v>
      </c>
      <c r="F44" s="133">
        <v>79</v>
      </c>
      <c r="G44" s="155"/>
      <c r="H44" s="155"/>
      <c r="I44" s="155"/>
      <c r="J44" s="155"/>
      <c r="K44" s="155"/>
      <c r="L44" s="44"/>
      <c r="M44" s="44"/>
    </row>
    <row r="45" spans="2:16" outlineLevel="1" x14ac:dyDescent="0.3">
      <c r="B45" s="55" t="str">
        <f>Balans!B14</f>
        <v>Vlottende Activa</v>
      </c>
      <c r="C45" s="55"/>
      <c r="D45" s="55"/>
      <c r="E45" s="136">
        <f t="shared" ref="E45:F45" si="3">SUM(E41:E44)</f>
        <v>194</v>
      </c>
      <c r="F45" s="136">
        <f t="shared" si="3"/>
        <v>156</v>
      </c>
      <c r="G45" s="155"/>
      <c r="H45" s="155"/>
      <c r="I45" s="155"/>
      <c r="J45" s="155"/>
      <c r="K45" s="155"/>
      <c r="L45" s="44"/>
      <c r="M45" s="44"/>
    </row>
    <row r="46" spans="2:16" outlineLevel="1" x14ac:dyDescent="0.3">
      <c r="B46" s="55"/>
      <c r="C46" s="55"/>
      <c r="D46" s="55"/>
      <c r="E46" s="138"/>
      <c r="F46" s="138"/>
      <c r="G46" s="154"/>
      <c r="H46" s="154"/>
      <c r="I46" s="154"/>
      <c r="J46" s="154"/>
      <c r="K46" s="154"/>
      <c r="L46" s="44"/>
      <c r="M46" s="44"/>
    </row>
    <row r="47" spans="2:16" ht="15" outlineLevel="1" thickBot="1" x14ac:dyDescent="0.35">
      <c r="B47" s="55" t="str">
        <f>Balans!B16</f>
        <v>Activa Totaal</v>
      </c>
      <c r="C47" s="55"/>
      <c r="D47" s="55"/>
      <c r="E47" s="139">
        <f t="shared" ref="E47:F47" si="4">E39+E45</f>
        <v>314</v>
      </c>
      <c r="F47" s="139">
        <f t="shared" si="4"/>
        <v>296</v>
      </c>
      <c r="G47" s="155"/>
      <c r="H47" s="155"/>
      <c r="I47" s="155"/>
      <c r="J47" s="155"/>
      <c r="K47" s="155"/>
      <c r="L47" s="44"/>
      <c r="M47" s="44"/>
    </row>
    <row r="48" spans="2:16" ht="15" outlineLevel="1" thickTop="1" x14ac:dyDescent="0.3">
      <c r="B48" s="54"/>
      <c r="C48" s="54"/>
      <c r="D48" s="54"/>
      <c r="E48" s="137"/>
      <c r="F48" s="137"/>
      <c r="G48" s="154"/>
      <c r="H48" s="154"/>
      <c r="I48" s="154"/>
      <c r="J48" s="154"/>
      <c r="K48" s="154"/>
      <c r="L48" s="44"/>
      <c r="M48" s="44"/>
    </row>
    <row r="49" spans="2:13" outlineLevel="1" x14ac:dyDescent="0.3">
      <c r="B49" s="54" t="str">
        <f>Balans!B18</f>
        <v>Eigen Vermogen</v>
      </c>
      <c r="C49" s="54"/>
      <c r="D49" s="54"/>
      <c r="E49" s="133">
        <v>100</v>
      </c>
      <c r="F49" s="133">
        <v>142</v>
      </c>
      <c r="G49" s="155"/>
      <c r="H49" s="155"/>
      <c r="I49" s="155"/>
      <c r="J49" s="155"/>
      <c r="K49" s="155"/>
      <c r="L49" s="44"/>
      <c r="M49" s="44" t="s">
        <v>272</v>
      </c>
    </row>
    <row r="50" spans="2:13" outlineLevel="1" x14ac:dyDescent="0.3">
      <c r="B50" s="54"/>
      <c r="C50" s="54"/>
      <c r="D50" s="54"/>
      <c r="E50" s="137"/>
      <c r="F50" s="137"/>
      <c r="G50" s="154"/>
      <c r="H50" s="154"/>
      <c r="I50" s="154"/>
      <c r="J50" s="154"/>
      <c r="K50" s="154"/>
      <c r="L50" s="44"/>
      <c r="M50" s="44"/>
    </row>
    <row r="51" spans="2:13" outlineLevel="1" x14ac:dyDescent="0.3">
      <c r="B51" s="54" t="str">
        <f>Balans!B20</f>
        <v>Voorzieningen</v>
      </c>
      <c r="C51" s="54"/>
      <c r="D51" s="54"/>
      <c r="E51" s="133">
        <v>60</v>
      </c>
      <c r="F51" s="133">
        <v>10</v>
      </c>
      <c r="G51" s="155"/>
      <c r="H51" s="155"/>
      <c r="I51" s="155"/>
      <c r="J51" s="155"/>
      <c r="K51" s="155"/>
      <c r="L51" s="44"/>
      <c r="M51" s="44"/>
    </row>
    <row r="52" spans="2:13" outlineLevel="1" x14ac:dyDescent="0.3">
      <c r="B52" s="54"/>
      <c r="C52" s="54"/>
      <c r="D52" s="54"/>
      <c r="E52" s="137"/>
      <c r="F52" s="137"/>
      <c r="G52" s="154"/>
      <c r="H52" s="154"/>
      <c r="I52" s="154"/>
      <c r="J52" s="154"/>
      <c r="K52" s="154"/>
      <c r="L52" s="44"/>
      <c r="M52" s="44"/>
    </row>
    <row r="53" spans="2:13" outlineLevel="1" x14ac:dyDescent="0.3">
      <c r="B53" s="54" t="str">
        <f>Balans!B22</f>
        <v>Langlopende Schulden (LLS)</v>
      </c>
      <c r="C53" s="54"/>
      <c r="D53" s="54"/>
      <c r="E53" s="133">
        <v>70</v>
      </c>
      <c r="F53" s="133">
        <v>60</v>
      </c>
      <c r="G53" s="155"/>
      <c r="H53" s="155"/>
      <c r="I53" s="155"/>
      <c r="J53" s="155"/>
      <c r="K53" s="155"/>
      <c r="L53" s="44"/>
      <c r="M53" s="44" t="s">
        <v>311</v>
      </c>
    </row>
    <row r="54" spans="2:13" outlineLevel="1" x14ac:dyDescent="0.3">
      <c r="B54" s="54"/>
      <c r="C54" s="54"/>
      <c r="D54" s="54"/>
      <c r="E54" s="137"/>
      <c r="F54" s="137"/>
      <c r="G54" s="154"/>
      <c r="H54" s="154"/>
      <c r="I54" s="154"/>
      <c r="J54" s="154"/>
      <c r="K54" s="154"/>
      <c r="L54" s="44"/>
      <c r="M54" s="44"/>
    </row>
    <row r="55" spans="2:13" outlineLevel="1" x14ac:dyDescent="0.3">
      <c r="B55" s="54" t="str">
        <f>Balans!B24</f>
        <v>Kortlopend deel LLS</v>
      </c>
      <c r="C55" s="54"/>
      <c r="D55" s="54"/>
      <c r="E55" s="133">
        <v>10</v>
      </c>
      <c r="F55" s="133">
        <v>10</v>
      </c>
      <c r="G55" s="155"/>
      <c r="H55" s="155"/>
      <c r="I55" s="155"/>
      <c r="J55" s="155"/>
      <c r="K55" s="155"/>
      <c r="L55" s="44"/>
      <c r="M55" s="44"/>
    </row>
    <row r="56" spans="2:13" outlineLevel="1" x14ac:dyDescent="0.3">
      <c r="B56" s="54" t="str">
        <f>Balans!B25</f>
        <v>Kortlopende schulden rentedragend</v>
      </c>
      <c r="C56" s="54"/>
      <c r="D56" s="54"/>
      <c r="E56" s="133">
        <v>4</v>
      </c>
      <c r="F56" s="133">
        <v>4</v>
      </c>
      <c r="G56" s="155"/>
      <c r="H56" s="155"/>
      <c r="I56" s="155"/>
      <c r="J56" s="155"/>
      <c r="K56" s="155"/>
      <c r="L56" s="44"/>
      <c r="M56" s="44"/>
    </row>
    <row r="57" spans="2:13" outlineLevel="1" x14ac:dyDescent="0.3">
      <c r="B57" s="54" t="str">
        <f>Balans!B26</f>
        <v>Crediteuren</v>
      </c>
      <c r="C57" s="54"/>
      <c r="D57" s="54"/>
      <c r="E57" s="133">
        <v>40</v>
      </c>
      <c r="F57" s="133">
        <v>45</v>
      </c>
      <c r="G57" s="155"/>
      <c r="H57" s="155"/>
      <c r="I57" s="155"/>
      <c r="J57" s="155"/>
      <c r="K57" s="155"/>
      <c r="L57" s="44"/>
      <c r="M57" s="44"/>
    </row>
    <row r="58" spans="2:13" outlineLevel="1" x14ac:dyDescent="0.3">
      <c r="B58" s="54" t="str">
        <f>Balans!B27</f>
        <v>Overige kortlopende passiva</v>
      </c>
      <c r="C58" s="54"/>
      <c r="D58" s="54"/>
      <c r="E58" s="133">
        <v>30</v>
      </c>
      <c r="F58" s="133">
        <v>25</v>
      </c>
      <c r="G58" s="155"/>
      <c r="H58" s="155"/>
      <c r="I58" s="155"/>
      <c r="J58" s="155"/>
      <c r="K58" s="155"/>
      <c r="L58" s="44"/>
      <c r="M58" s="44"/>
    </row>
    <row r="59" spans="2:13" outlineLevel="1" x14ac:dyDescent="0.3">
      <c r="B59" s="46" t="str">
        <f>Balans!B28</f>
        <v>Vlottende Passiva</v>
      </c>
      <c r="C59" s="46"/>
      <c r="D59" s="46"/>
      <c r="E59" s="136">
        <f>SUM(E55:E58)</f>
        <v>84</v>
      </c>
      <c r="F59" s="136">
        <f>SUM(F55:F58)</f>
        <v>84</v>
      </c>
      <c r="G59" s="155"/>
      <c r="H59" s="155"/>
      <c r="I59" s="155"/>
      <c r="J59" s="155"/>
      <c r="K59" s="155"/>
      <c r="L59" s="44"/>
      <c r="M59" s="44"/>
    </row>
    <row r="60" spans="2:13" outlineLevel="1" x14ac:dyDescent="0.3">
      <c r="B60" s="44"/>
      <c r="C60" s="44"/>
      <c r="D60" s="44"/>
      <c r="E60" s="137"/>
      <c r="F60" s="137"/>
      <c r="G60" s="154"/>
      <c r="H60" s="154"/>
      <c r="I60" s="154"/>
      <c r="J60" s="154"/>
      <c r="K60" s="154"/>
      <c r="L60" s="44"/>
      <c r="M60" s="44"/>
    </row>
    <row r="61" spans="2:13" ht="15" outlineLevel="1" thickBot="1" x14ac:dyDescent="0.35">
      <c r="B61" s="46" t="str">
        <f>Balans!B30</f>
        <v>Passiva Totaal</v>
      </c>
      <c r="C61" s="46"/>
      <c r="D61" s="46"/>
      <c r="E61" s="139">
        <f>E49+E51+E53+E59</f>
        <v>314</v>
      </c>
      <c r="F61" s="139">
        <f>F49+F51+F53+F59</f>
        <v>296</v>
      </c>
      <c r="G61" s="155"/>
      <c r="H61" s="155"/>
      <c r="I61" s="155"/>
      <c r="J61" s="155"/>
      <c r="K61" s="155"/>
      <c r="L61" s="44"/>
      <c r="M61" s="44"/>
    </row>
    <row r="62" spans="2:13" ht="15" outlineLevel="1" thickTop="1" x14ac:dyDescent="0.3">
      <c r="B62" s="44"/>
      <c r="C62" s="44"/>
      <c r="D62" s="44"/>
      <c r="E62" s="137"/>
      <c r="F62" s="137"/>
      <c r="G62" s="44"/>
      <c r="H62" s="44"/>
      <c r="I62" s="44"/>
      <c r="J62" s="44"/>
      <c r="K62" s="44"/>
      <c r="L62" s="44"/>
      <c r="M62" s="44"/>
    </row>
    <row r="63" spans="2:13" x14ac:dyDescent="0.3">
      <c r="B63" s="44"/>
      <c r="C63" s="44"/>
      <c r="D63" s="44"/>
      <c r="E63" s="141"/>
      <c r="F63" s="141"/>
      <c r="G63" s="44"/>
      <c r="H63" s="44"/>
      <c r="I63" s="44"/>
      <c r="J63" s="44"/>
      <c r="K63" s="44"/>
      <c r="L63" s="44"/>
      <c r="M63" s="44"/>
    </row>
    <row r="64" spans="2:13" x14ac:dyDescent="0.3">
      <c r="B64" s="131" t="s">
        <v>162</v>
      </c>
      <c r="C64" s="151"/>
      <c r="D64" s="151"/>
      <c r="E64" s="152"/>
      <c r="F64" s="152"/>
      <c r="G64" s="153"/>
      <c r="H64" s="153"/>
      <c r="I64" s="153"/>
      <c r="J64" s="153"/>
      <c r="K64" s="153"/>
      <c r="L64" s="44"/>
      <c r="M64" s="44"/>
    </row>
    <row r="65" spans="2:13" outlineLevel="1" x14ac:dyDescent="0.3">
      <c r="B65" s="106"/>
      <c r="C65" s="56"/>
      <c r="D65" s="56"/>
      <c r="E65" s="142"/>
      <c r="F65" s="142"/>
      <c r="G65" s="57"/>
      <c r="H65" s="57"/>
      <c r="I65" s="57"/>
      <c r="J65" s="57"/>
      <c r="K65" s="57"/>
      <c r="L65" s="44"/>
      <c r="M65" s="44"/>
    </row>
    <row r="66" spans="2:13" outlineLevel="1" x14ac:dyDescent="0.3">
      <c r="B66" s="56" t="s">
        <v>172</v>
      </c>
      <c r="C66" s="56"/>
      <c r="D66" s="56"/>
      <c r="E66" s="206">
        <f>E47-E61</f>
        <v>0</v>
      </c>
      <c r="F66" s="206">
        <f>F47-F61</f>
        <v>0</v>
      </c>
      <c r="G66" s="44"/>
      <c r="H66" s="44"/>
      <c r="I66" s="44"/>
      <c r="J66" s="44"/>
      <c r="K66" s="44"/>
      <c r="L66" s="44"/>
      <c r="M66" s="56" t="s">
        <v>270</v>
      </c>
    </row>
    <row r="67" spans="2:13" outlineLevel="1" x14ac:dyDescent="0.3">
      <c r="B67" s="56"/>
      <c r="C67" s="56"/>
      <c r="D67" s="56"/>
      <c r="E67" s="142"/>
      <c r="F67" s="142"/>
      <c r="G67" s="44"/>
      <c r="H67" s="44"/>
      <c r="I67" s="44"/>
      <c r="J67" s="44"/>
      <c r="K67" s="44"/>
      <c r="L67" s="44"/>
      <c r="M67" s="56"/>
    </row>
    <row r="68" spans="2:13" outlineLevel="1" x14ac:dyDescent="0.3">
      <c r="B68" s="56" t="s">
        <v>108</v>
      </c>
      <c r="C68" s="56"/>
      <c r="D68" s="56"/>
      <c r="E68" s="142"/>
      <c r="F68" s="142">
        <f>F49-E49</f>
        <v>42</v>
      </c>
      <c r="G68" s="44"/>
      <c r="H68" s="44"/>
      <c r="I68" s="44"/>
      <c r="J68" s="44"/>
      <c r="K68" s="44"/>
      <c r="L68" s="44"/>
      <c r="M68" s="56"/>
    </row>
    <row r="69" spans="2:13" outlineLevel="1" x14ac:dyDescent="0.3">
      <c r="B69" s="56" t="str">
        <f>RR!B26</f>
        <v>Netto resultaat</v>
      </c>
      <c r="C69" s="56"/>
      <c r="D69" s="56"/>
      <c r="E69" s="142"/>
      <c r="F69" s="142">
        <f>F31</f>
        <v>53</v>
      </c>
      <c r="G69" s="44"/>
      <c r="H69" s="44"/>
      <c r="I69" s="44"/>
      <c r="J69" s="44"/>
      <c r="K69" s="44"/>
      <c r="L69" s="44"/>
      <c r="M69" s="56"/>
    </row>
    <row r="70" spans="2:13" outlineLevel="1" x14ac:dyDescent="0.3">
      <c r="B70" s="56" t="str">
        <f>RR!B28</f>
        <v>Dividend uitkering</v>
      </c>
      <c r="C70" s="56"/>
      <c r="D70" s="56"/>
      <c r="E70" s="142"/>
      <c r="F70" s="142">
        <f>-F33</f>
        <v>-11</v>
      </c>
      <c r="G70" s="44"/>
      <c r="H70" s="44"/>
      <c r="I70" s="44"/>
      <c r="J70" s="44"/>
      <c r="K70" s="44"/>
      <c r="L70" s="44"/>
      <c r="M70" s="56"/>
    </row>
    <row r="71" spans="2:13" outlineLevel="1" x14ac:dyDescent="0.3">
      <c r="B71" s="56" t="s">
        <v>109</v>
      </c>
      <c r="C71" s="56"/>
      <c r="D71" s="56"/>
      <c r="E71" s="142"/>
      <c r="F71" s="142">
        <f>SUM(F69:F70)</f>
        <v>42</v>
      </c>
      <c r="G71" s="44"/>
      <c r="H71" s="44"/>
      <c r="I71" s="44"/>
      <c r="J71" s="44"/>
      <c r="K71" s="44"/>
      <c r="L71" s="44"/>
      <c r="M71" s="56"/>
    </row>
    <row r="72" spans="2:13" outlineLevel="1" x14ac:dyDescent="0.3">
      <c r="B72" s="56" t="s">
        <v>173</v>
      </c>
      <c r="C72" s="56"/>
      <c r="D72" s="56"/>
      <c r="E72" s="142"/>
      <c r="F72" s="206">
        <f>F68-F71</f>
        <v>0</v>
      </c>
      <c r="G72" s="44"/>
      <c r="H72" s="44"/>
      <c r="I72" s="44"/>
      <c r="J72" s="44"/>
      <c r="K72" s="44"/>
      <c r="L72" s="44"/>
      <c r="M72" s="56" t="s">
        <v>271</v>
      </c>
    </row>
    <row r="73" spans="2:13" outlineLevel="1" x14ac:dyDescent="0.3">
      <c r="B73" s="56"/>
      <c r="C73" s="56"/>
      <c r="D73" s="56"/>
      <c r="E73" s="142"/>
      <c r="F73" s="142"/>
      <c r="G73" s="44"/>
      <c r="H73" s="44"/>
      <c r="I73" s="44"/>
      <c r="J73" s="44"/>
      <c r="K73" s="44"/>
      <c r="L73" s="44"/>
      <c r="M73" s="56"/>
    </row>
    <row r="74" spans="2:13" outlineLevel="1" x14ac:dyDescent="0.3">
      <c r="B74" s="56" t="s">
        <v>110</v>
      </c>
      <c r="C74" s="58"/>
      <c r="D74" s="58"/>
      <c r="E74" s="142">
        <f>ABS(E66)+ABS(E72)</f>
        <v>0</v>
      </c>
      <c r="F74" s="142">
        <f>ABS(F66)+ABS(F72)</f>
        <v>0</v>
      </c>
      <c r="G74" s="44"/>
      <c r="H74" s="44"/>
      <c r="I74" s="44"/>
      <c r="J74" s="44"/>
      <c r="K74" s="44"/>
      <c r="L74" s="44"/>
      <c r="M74" s="56" t="s">
        <v>269</v>
      </c>
    </row>
    <row r="75" spans="2:13" x14ac:dyDescent="0.3">
      <c r="B75" s="44"/>
      <c r="C75" s="44"/>
      <c r="D75" s="44"/>
      <c r="E75" s="141"/>
      <c r="F75" s="141"/>
      <c r="G75" s="44"/>
      <c r="H75" s="44"/>
      <c r="I75" s="44"/>
      <c r="J75" s="44"/>
      <c r="K75" s="44"/>
      <c r="L75" s="44"/>
      <c r="M75" s="44"/>
    </row>
    <row r="76" spans="2:13" x14ac:dyDescent="0.3">
      <c r="B76" s="44"/>
      <c r="C76" s="44"/>
      <c r="D76" s="44"/>
      <c r="E76" s="141"/>
      <c r="F76" s="141"/>
      <c r="G76" s="44"/>
      <c r="H76" s="44"/>
      <c r="I76" s="44"/>
      <c r="J76" s="44"/>
      <c r="K76" s="44"/>
      <c r="L76" s="44"/>
      <c r="M76" s="44"/>
    </row>
    <row r="77" spans="2:13" x14ac:dyDescent="0.3">
      <c r="B77" s="44"/>
      <c r="C77" s="44"/>
      <c r="D77" s="44"/>
      <c r="E77" s="141"/>
      <c r="F77" s="141"/>
      <c r="G77" s="44"/>
      <c r="H77" s="44"/>
      <c r="I77" s="44"/>
      <c r="J77" s="44"/>
      <c r="K77" s="44"/>
      <c r="L77" s="44"/>
      <c r="M77" s="44"/>
    </row>
    <row r="78" spans="2:13" x14ac:dyDescent="0.3">
      <c r="E78" s="140"/>
      <c r="F78" s="140"/>
    </row>
    <row r="79" spans="2:13" x14ac:dyDescent="0.3">
      <c r="E79" s="140"/>
      <c r="F79" s="140"/>
    </row>
    <row r="80" spans="2:13" x14ac:dyDescent="0.3">
      <c r="E80" s="140"/>
      <c r="F80" s="140"/>
    </row>
    <row r="81" spans="5:6" x14ac:dyDescent="0.3">
      <c r="E81" s="140"/>
      <c r="F81" s="140"/>
    </row>
    <row r="82" spans="5:6" x14ac:dyDescent="0.3">
      <c r="E82" s="140"/>
      <c r="F82" s="140"/>
    </row>
    <row r="83" spans="5:6" x14ac:dyDescent="0.3">
      <c r="E83" s="140"/>
      <c r="F83" s="140"/>
    </row>
    <row r="84" spans="5:6" x14ac:dyDescent="0.3">
      <c r="E84" s="140"/>
      <c r="F84" s="140"/>
    </row>
    <row r="85" spans="5:6" x14ac:dyDescent="0.3">
      <c r="E85" s="140"/>
      <c r="F85" s="140"/>
    </row>
    <row r="86" spans="5:6" x14ac:dyDescent="0.3">
      <c r="E86" s="140"/>
      <c r="F86" s="140"/>
    </row>
    <row r="87" spans="5:6" x14ac:dyDescent="0.3">
      <c r="E87" s="140"/>
      <c r="F87" s="140"/>
    </row>
    <row r="88" spans="5:6" x14ac:dyDescent="0.3">
      <c r="E88" s="140"/>
      <c r="F88" s="140"/>
    </row>
    <row r="89" spans="5:6" x14ac:dyDescent="0.3">
      <c r="E89" s="140"/>
      <c r="F89" s="140"/>
    </row>
    <row r="90" spans="5:6" x14ac:dyDescent="0.3">
      <c r="E90" s="140"/>
      <c r="F90" s="140"/>
    </row>
    <row r="91" spans="5:6" x14ac:dyDescent="0.3">
      <c r="E91" s="140"/>
      <c r="F91" s="140"/>
    </row>
    <row r="92" spans="5:6" x14ac:dyDescent="0.3">
      <c r="E92" s="140"/>
      <c r="F92" s="140"/>
    </row>
    <row r="93" spans="5:6" x14ac:dyDescent="0.3">
      <c r="E93" s="140"/>
      <c r="F93" s="140"/>
    </row>
    <row r="94" spans="5:6" x14ac:dyDescent="0.3">
      <c r="E94" s="140"/>
      <c r="F94" s="140"/>
    </row>
    <row r="95" spans="5:6" x14ac:dyDescent="0.3">
      <c r="E95" s="140"/>
      <c r="F95" s="140"/>
    </row>
  </sheetData>
  <conditionalFormatting sqref="E36:F36">
    <cfRule type="expression" dxfId="21" priority="3">
      <formula>E36="CHECK"</formula>
    </cfRule>
  </conditionalFormatting>
  <conditionalFormatting sqref="E66:F67">
    <cfRule type="expression" dxfId="20" priority="6">
      <formula>E66&lt;&gt;0</formula>
    </cfRule>
  </conditionalFormatting>
  <conditionalFormatting sqref="E74:F74">
    <cfRule type="expression" dxfId="19" priority="4">
      <formula>E74&lt;&gt;0</formula>
    </cfRule>
  </conditionalFormatting>
  <conditionalFormatting sqref="F72:F73">
    <cfRule type="expression" dxfId="18" priority="5">
      <formula>F72&lt;&gt;0</formula>
    </cfRule>
  </conditionalFormatting>
  <conditionalFormatting sqref="H2">
    <cfRule type="cellIs" dxfId="17" priority="1" operator="notEqual">
      <formula>0</formula>
    </cfRule>
    <cfRule type="cellIs" dxfId="16" priority="2" operator="equal">
      <formula>0</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90"/>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21875" customWidth="1"/>
    <col min="2" max="2" width="37.21875" customWidth="1"/>
    <col min="3" max="3" width="7.109375" customWidth="1"/>
    <col min="4" max="4" width="3.5546875" customWidth="1"/>
    <col min="5" max="11" width="8.33203125" customWidth="1"/>
    <col min="12" max="15" width="9.109375" style="4"/>
  </cols>
  <sheetData>
    <row r="1" spans="2:15" x14ac:dyDescent="0.3">
      <c r="K1" s="13" t="s">
        <v>33</v>
      </c>
    </row>
    <row r="2" spans="2:15" ht="15.6" x14ac:dyDescent="0.3">
      <c r="B2" s="12" t="s">
        <v>277</v>
      </c>
      <c r="C2" s="2"/>
      <c r="F2" s="26" t="s">
        <v>375</v>
      </c>
      <c r="G2" s="26"/>
      <c r="H2" s="200">
        <f>ErrorChecks!B5</f>
        <v>0</v>
      </c>
      <c r="K2" s="13"/>
    </row>
    <row r="4" spans="2:15" s="9" customFormat="1" ht="12" x14ac:dyDescent="0.25">
      <c r="B4" s="11" t="s">
        <v>7</v>
      </c>
      <c r="C4" s="11"/>
      <c r="D4" s="11"/>
      <c r="E4" s="89" t="str">
        <f>IF(E81=0,"OK","CHECK")</f>
        <v>OK</v>
      </c>
      <c r="F4" s="89" t="str">
        <f t="shared" ref="F4:K4" si="0">IF(F81=0,"OK","CHECK")</f>
        <v>OK</v>
      </c>
      <c r="G4" s="89" t="str">
        <f t="shared" si="0"/>
        <v>OK</v>
      </c>
      <c r="H4" s="89" t="str">
        <f t="shared" si="0"/>
        <v>OK</v>
      </c>
      <c r="I4" s="89" t="str">
        <f t="shared" si="0"/>
        <v>OK</v>
      </c>
      <c r="J4" s="89" t="str">
        <f t="shared" si="0"/>
        <v>OK</v>
      </c>
      <c r="K4" s="89" t="str">
        <f t="shared" si="0"/>
        <v>OK</v>
      </c>
      <c r="L4" s="90"/>
      <c r="M4" s="101"/>
      <c r="N4" s="90"/>
      <c r="O4" s="90"/>
    </row>
    <row r="5" spans="2:15" s="2" customFormat="1" x14ac:dyDescent="0.3">
      <c r="B5" s="131" t="s">
        <v>252</v>
      </c>
      <c r="C5" s="132"/>
      <c r="D5" s="131"/>
      <c r="E5" s="132" t="str">
        <f>RR!E5</f>
        <v>R 2024</v>
      </c>
      <c r="F5" s="132" t="str">
        <f>RR!F5</f>
        <v>R 2025</v>
      </c>
      <c r="G5" s="132" t="str">
        <f>RR!G5</f>
        <v>P 2026</v>
      </c>
      <c r="H5" s="132" t="str">
        <f>RR!H5</f>
        <v>P 2027</v>
      </c>
      <c r="I5" s="132" t="str">
        <f>RR!I5</f>
        <v>P 2028</v>
      </c>
      <c r="J5" s="132" t="str">
        <f>RR!J5</f>
        <v>P 2029</v>
      </c>
      <c r="K5" s="132" t="str">
        <f>RR!K5</f>
        <v>P 2030</v>
      </c>
      <c r="L5" s="59"/>
      <c r="M5" s="46"/>
      <c r="N5" s="59"/>
      <c r="O5" s="59"/>
    </row>
    <row r="6" spans="2:15" s="2" customFormat="1" outlineLevel="1" x14ac:dyDescent="0.3">
      <c r="B6" s="46"/>
      <c r="C6" s="46"/>
      <c r="D6" s="46"/>
      <c r="E6" s="61"/>
      <c r="F6" s="61"/>
      <c r="G6" s="61"/>
      <c r="H6" s="61"/>
      <c r="I6" s="61"/>
      <c r="J6" s="61"/>
      <c r="K6" s="61"/>
      <c r="L6" s="55"/>
      <c r="M6" s="46"/>
      <c r="N6" s="55"/>
      <c r="O6" s="55"/>
    </row>
    <row r="7" spans="2:15" s="2" customFormat="1" outlineLevel="1" x14ac:dyDescent="0.3">
      <c r="B7" s="114" t="s">
        <v>165</v>
      </c>
      <c r="C7" s="46"/>
      <c r="D7" s="46"/>
      <c r="E7" s="61"/>
      <c r="F7" s="61"/>
      <c r="G7" s="61"/>
      <c r="H7" s="61"/>
      <c r="I7" s="61"/>
      <c r="J7" s="61"/>
      <c r="K7" s="61"/>
      <c r="L7" s="55"/>
      <c r="M7" s="54" t="s">
        <v>253</v>
      </c>
      <c r="N7" s="55"/>
      <c r="O7" s="55"/>
    </row>
    <row r="8" spans="2:15" outlineLevel="1" x14ac:dyDescent="0.3">
      <c r="B8" s="112" t="s">
        <v>247</v>
      </c>
      <c r="C8" s="44"/>
      <c r="D8" s="44"/>
      <c r="E8" s="121">
        <v>1200</v>
      </c>
      <c r="F8" s="121">
        <v>1200</v>
      </c>
      <c r="G8" s="121">
        <v>1200</v>
      </c>
      <c r="H8" s="121">
        <v>1300</v>
      </c>
      <c r="I8" s="121">
        <v>1400</v>
      </c>
      <c r="J8" s="121">
        <v>1500</v>
      </c>
      <c r="K8" s="121">
        <v>1500</v>
      </c>
      <c r="L8" s="54"/>
      <c r="M8" s="54" t="s">
        <v>168</v>
      </c>
      <c r="N8" s="54"/>
      <c r="O8" s="54"/>
    </row>
    <row r="9" spans="2:15" outlineLevel="1" x14ac:dyDescent="0.3">
      <c r="B9" s="112" t="s">
        <v>169</v>
      </c>
      <c r="C9" s="44"/>
      <c r="D9" s="44"/>
      <c r="E9" s="137">
        <f>(E11*1000)/E8</f>
        <v>416.66666666666669</v>
      </c>
      <c r="F9" s="137">
        <f>(F11*1000)/F8</f>
        <v>437.5</v>
      </c>
      <c r="G9" s="137">
        <f>F9*(1+G10)</f>
        <v>446.25</v>
      </c>
      <c r="H9" s="137">
        <f>G9*(1+H10)</f>
        <v>455.17500000000001</v>
      </c>
      <c r="I9" s="137">
        <f>H9*(1+I10)</f>
        <v>464.27850000000001</v>
      </c>
      <c r="J9" s="137">
        <f>I9*(1+J10)</f>
        <v>473.56407000000002</v>
      </c>
      <c r="K9" s="137">
        <f>J9*(1+K10)</f>
        <v>483.03535140000002</v>
      </c>
      <c r="L9" s="54"/>
      <c r="M9" s="54" t="s">
        <v>170</v>
      </c>
      <c r="N9" s="54"/>
      <c r="O9" s="54"/>
    </row>
    <row r="10" spans="2:15" outlineLevel="1" x14ac:dyDescent="0.3">
      <c r="B10" s="112" t="s">
        <v>166</v>
      </c>
      <c r="C10" s="122">
        <v>0.02</v>
      </c>
      <c r="D10" s="44"/>
      <c r="E10" s="194"/>
      <c r="F10" s="62">
        <f>(F9-E9)/E9</f>
        <v>4.9999999999999954E-2</v>
      </c>
      <c r="G10" s="62">
        <f>$C10</f>
        <v>0.02</v>
      </c>
      <c r="H10" s="62">
        <f t="shared" ref="H10:K10" si="1">$C10</f>
        <v>0.02</v>
      </c>
      <c r="I10" s="62">
        <f t="shared" si="1"/>
        <v>0.02</v>
      </c>
      <c r="J10" s="62">
        <f t="shared" si="1"/>
        <v>0.02</v>
      </c>
      <c r="K10" s="62">
        <f t="shared" si="1"/>
        <v>0.02</v>
      </c>
      <c r="L10" s="54"/>
      <c r="M10" s="54" t="s">
        <v>167</v>
      </c>
      <c r="N10" s="54"/>
      <c r="O10" s="54"/>
    </row>
    <row r="11" spans="2:15" s="2" customFormat="1" outlineLevel="1" x14ac:dyDescent="0.3">
      <c r="B11" s="113" t="s">
        <v>165</v>
      </c>
      <c r="C11" s="46"/>
      <c r="D11" s="46"/>
      <c r="E11" s="156">
        <f>'1. Realisatie RR en BS'!E11</f>
        <v>500</v>
      </c>
      <c r="F11" s="156">
        <f>'1. Realisatie RR en BS'!F11</f>
        <v>525</v>
      </c>
      <c r="G11" s="157">
        <f t="shared" ref="G11:K11" si="2">G8*G9/1000</f>
        <v>535.5</v>
      </c>
      <c r="H11" s="157">
        <f t="shared" si="2"/>
        <v>591.72749999999996</v>
      </c>
      <c r="I11" s="157">
        <f t="shared" si="2"/>
        <v>649.98990000000003</v>
      </c>
      <c r="J11" s="157">
        <f t="shared" si="2"/>
        <v>710.34610499999997</v>
      </c>
      <c r="K11" s="157">
        <f t="shared" si="2"/>
        <v>724.55302710000001</v>
      </c>
      <c r="L11" s="55"/>
      <c r="M11" s="44" t="s">
        <v>22</v>
      </c>
      <c r="N11" s="55"/>
      <c r="O11" s="55"/>
    </row>
    <row r="12" spans="2:15" outlineLevel="1" x14ac:dyDescent="0.3">
      <c r="B12" s="46"/>
      <c r="C12" s="46"/>
      <c r="D12" s="46"/>
      <c r="E12" s="73"/>
      <c r="F12" s="73"/>
      <c r="G12" s="46"/>
      <c r="H12" s="46"/>
      <c r="I12" s="46"/>
      <c r="J12" s="46"/>
      <c r="K12" s="46"/>
      <c r="L12" s="54"/>
      <c r="M12" s="54"/>
      <c r="N12" s="54"/>
      <c r="O12" s="54"/>
    </row>
    <row r="13" spans="2:15" s="4" customFormat="1" outlineLevel="1" x14ac:dyDescent="0.3">
      <c r="B13" s="114" t="s">
        <v>0</v>
      </c>
      <c r="C13" s="54"/>
      <c r="D13" s="54"/>
      <c r="E13" s="67"/>
      <c r="F13" s="67"/>
      <c r="G13" s="70"/>
      <c r="H13" s="70"/>
      <c r="I13" s="70"/>
      <c r="J13" s="70"/>
      <c r="K13" s="70"/>
      <c r="L13" s="54"/>
      <c r="M13" s="54"/>
      <c r="N13" s="54"/>
      <c r="O13" s="54"/>
    </row>
    <row r="14" spans="2:15" s="2" customFormat="1" outlineLevel="1" x14ac:dyDescent="0.3">
      <c r="B14" s="112" t="s">
        <v>298</v>
      </c>
      <c r="C14" s="122">
        <v>0.02</v>
      </c>
      <c r="D14" s="44"/>
      <c r="E14" s="189"/>
      <c r="F14" s="74">
        <f>(F15-E15)/E15</f>
        <v>0.1</v>
      </c>
      <c r="G14" s="49">
        <f>$C14</f>
        <v>0.02</v>
      </c>
      <c r="H14" s="49">
        <f>$C14</f>
        <v>0.02</v>
      </c>
      <c r="I14" s="49">
        <f>$C14</f>
        <v>0.02</v>
      </c>
      <c r="J14" s="49">
        <f>$C14</f>
        <v>0.02</v>
      </c>
      <c r="K14" s="49">
        <f>$C14</f>
        <v>0.02</v>
      </c>
      <c r="L14" s="55"/>
      <c r="M14" s="54" t="s">
        <v>236</v>
      </c>
      <c r="N14" s="55"/>
      <c r="O14" s="55"/>
    </row>
    <row r="15" spans="2:15" outlineLevel="1" x14ac:dyDescent="0.3">
      <c r="B15" s="115" t="s">
        <v>296</v>
      </c>
      <c r="C15" s="44"/>
      <c r="D15" s="44"/>
      <c r="E15" s="137">
        <f>E17-E16</f>
        <v>50</v>
      </c>
      <c r="F15" s="137">
        <f>F17-F16</f>
        <v>55</v>
      </c>
      <c r="G15" s="141">
        <f>F15+(F15*G14)</f>
        <v>56.1</v>
      </c>
      <c r="H15" s="141">
        <f>G15+(G15*H14)</f>
        <v>57.222000000000001</v>
      </c>
      <c r="I15" s="141">
        <f>H15+(H15*I14)</f>
        <v>58.366440000000004</v>
      </c>
      <c r="J15" s="141">
        <f>I15+(I15*J14)</f>
        <v>59.533768800000004</v>
      </c>
      <c r="K15" s="141">
        <f>J15+(J15*K14)</f>
        <v>60.724444176000006</v>
      </c>
      <c r="L15" s="54"/>
      <c r="M15" s="54"/>
      <c r="N15" s="54"/>
      <c r="O15" s="54"/>
    </row>
    <row r="16" spans="2:15" outlineLevel="1" x14ac:dyDescent="0.3">
      <c r="B16" s="115" t="s">
        <v>297</v>
      </c>
      <c r="C16" s="44"/>
      <c r="D16" s="44"/>
      <c r="E16" s="133">
        <v>0</v>
      </c>
      <c r="F16" s="133">
        <v>0</v>
      </c>
      <c r="G16" s="133">
        <v>30</v>
      </c>
      <c r="H16" s="133">
        <v>0</v>
      </c>
      <c r="I16" s="133">
        <v>0</v>
      </c>
      <c r="J16" s="133">
        <v>0</v>
      </c>
      <c r="K16" s="133">
        <v>0</v>
      </c>
      <c r="L16" s="54"/>
      <c r="M16" s="54" t="s">
        <v>168</v>
      </c>
      <c r="N16" s="54"/>
      <c r="O16" s="54"/>
    </row>
    <row r="17" spans="2:15" s="2" customFormat="1" outlineLevel="1" x14ac:dyDescent="0.3">
      <c r="B17" s="113" t="str">
        <f>RR!B8</f>
        <v>Overige opbrengsten</v>
      </c>
      <c r="C17" s="46"/>
      <c r="D17" s="46"/>
      <c r="E17" s="158">
        <f>'1. Realisatie RR en BS'!E12</f>
        <v>50</v>
      </c>
      <c r="F17" s="158">
        <f>'1. Realisatie RR en BS'!F12</f>
        <v>55</v>
      </c>
      <c r="G17" s="136">
        <f>SUM(G15:G16)</f>
        <v>86.1</v>
      </c>
      <c r="H17" s="136">
        <f t="shared" ref="H17:K17" si="3">SUM(H15:H16)</f>
        <v>57.222000000000001</v>
      </c>
      <c r="I17" s="136">
        <f t="shared" si="3"/>
        <v>58.366440000000004</v>
      </c>
      <c r="J17" s="136">
        <f t="shared" si="3"/>
        <v>59.533768800000004</v>
      </c>
      <c r="K17" s="136">
        <f t="shared" si="3"/>
        <v>60.724444176000006</v>
      </c>
      <c r="L17" s="55"/>
      <c r="M17" s="44" t="s">
        <v>22</v>
      </c>
      <c r="N17" s="55"/>
      <c r="O17" s="55"/>
    </row>
    <row r="18" spans="2:15" s="2" customFormat="1" outlineLevel="1" x14ac:dyDescent="0.3">
      <c r="B18" s="44"/>
      <c r="C18" s="49"/>
      <c r="D18" s="44"/>
      <c r="E18" s="74"/>
      <c r="F18" s="74"/>
      <c r="G18" s="49"/>
      <c r="H18" s="49"/>
      <c r="I18" s="49"/>
      <c r="J18" s="49"/>
      <c r="K18" s="49"/>
      <c r="L18" s="46"/>
      <c r="M18" s="44"/>
      <c r="N18" s="46"/>
      <c r="O18" s="46"/>
    </row>
    <row r="19" spans="2:15" s="2" customFormat="1" ht="15" outlineLevel="1" thickBot="1" x14ac:dyDescent="0.35">
      <c r="B19" s="46" t="s">
        <v>1</v>
      </c>
      <c r="C19" s="72"/>
      <c r="D19" s="46"/>
      <c r="E19" s="139">
        <f t="shared" ref="E19:K19" si="4">E11+E17</f>
        <v>550</v>
      </c>
      <c r="F19" s="139">
        <f t="shared" si="4"/>
        <v>580</v>
      </c>
      <c r="G19" s="139">
        <f t="shared" si="4"/>
        <v>621.6</v>
      </c>
      <c r="H19" s="139">
        <f t="shared" si="4"/>
        <v>648.94949999999994</v>
      </c>
      <c r="I19" s="139">
        <f t="shared" si="4"/>
        <v>708.35634000000005</v>
      </c>
      <c r="J19" s="139">
        <f t="shared" si="4"/>
        <v>769.87987379999993</v>
      </c>
      <c r="K19" s="139">
        <f t="shared" si="4"/>
        <v>785.27747127600003</v>
      </c>
      <c r="L19" s="46"/>
      <c r="N19" s="46"/>
      <c r="O19" s="46"/>
    </row>
    <row r="20" spans="2:15" s="2" customFormat="1" ht="15" thickTop="1" x14ac:dyDescent="0.3">
      <c r="B20" s="44"/>
      <c r="C20" s="49"/>
      <c r="D20" s="44"/>
      <c r="E20" s="71"/>
      <c r="F20" s="71"/>
      <c r="G20" s="49"/>
      <c r="H20" s="49"/>
      <c r="I20" s="49"/>
      <c r="J20" s="49"/>
      <c r="K20" s="49"/>
      <c r="L20" s="46"/>
      <c r="M20" s="44"/>
      <c r="N20" s="46"/>
      <c r="O20" s="46"/>
    </row>
    <row r="21" spans="2:15" s="2" customFormat="1" x14ac:dyDescent="0.3">
      <c r="B21" s="131" t="s">
        <v>3</v>
      </c>
      <c r="C21" s="132"/>
      <c r="D21" s="131"/>
      <c r="E21" s="132" t="str">
        <f t="shared" ref="E21:K21" si="5">E5</f>
        <v>R 2024</v>
      </c>
      <c r="F21" s="132" t="str">
        <f t="shared" si="5"/>
        <v>R 2025</v>
      </c>
      <c r="G21" s="132" t="str">
        <f t="shared" si="5"/>
        <v>P 2026</v>
      </c>
      <c r="H21" s="132" t="str">
        <f t="shared" si="5"/>
        <v>P 2027</v>
      </c>
      <c r="I21" s="132" t="str">
        <f t="shared" si="5"/>
        <v>P 2028</v>
      </c>
      <c r="J21" s="132" t="str">
        <f t="shared" si="5"/>
        <v>P 2029</v>
      </c>
      <c r="K21" s="132" t="str">
        <f t="shared" si="5"/>
        <v>P 2030</v>
      </c>
      <c r="L21" s="59"/>
      <c r="M21" s="59"/>
      <c r="N21" s="59"/>
      <c r="O21" s="59"/>
    </row>
    <row r="22" spans="2:15" s="15" customFormat="1" outlineLevel="1" x14ac:dyDescent="0.3">
      <c r="B22" s="63"/>
      <c r="C22" s="63"/>
      <c r="D22" s="63"/>
      <c r="E22" s="64"/>
      <c r="F22" s="64"/>
      <c r="G22" s="64"/>
      <c r="H22" s="64"/>
      <c r="I22" s="64"/>
      <c r="J22" s="64"/>
      <c r="K22" s="64"/>
      <c r="L22" s="63"/>
      <c r="M22" s="63"/>
      <c r="N22" s="63"/>
      <c r="O22" s="63"/>
    </row>
    <row r="23" spans="2:15" s="15" customFormat="1" outlineLevel="1" x14ac:dyDescent="0.3">
      <c r="B23" s="116" t="s">
        <v>174</v>
      </c>
      <c r="C23" s="63"/>
      <c r="D23" s="63"/>
      <c r="E23" s="64"/>
      <c r="F23" s="64"/>
      <c r="G23" s="64"/>
      <c r="H23" s="64"/>
      <c r="I23" s="64"/>
      <c r="J23" s="64"/>
      <c r="K23" s="64"/>
      <c r="L23" s="63"/>
      <c r="M23" s="44" t="s">
        <v>333</v>
      </c>
      <c r="N23" s="63"/>
      <c r="O23" s="63"/>
    </row>
    <row r="24" spans="2:15" s="2" customFormat="1" outlineLevel="1" x14ac:dyDescent="0.3">
      <c r="B24" s="112" t="s">
        <v>175</v>
      </c>
      <c r="C24" s="46"/>
      <c r="D24" s="46"/>
      <c r="E24" s="123">
        <v>5</v>
      </c>
      <c r="F24" s="123">
        <v>5</v>
      </c>
      <c r="G24" s="123">
        <v>6</v>
      </c>
      <c r="H24" s="123">
        <v>6</v>
      </c>
      <c r="I24" s="123">
        <v>6</v>
      </c>
      <c r="J24" s="123">
        <v>6</v>
      </c>
      <c r="K24" s="123">
        <v>7</v>
      </c>
      <c r="L24" s="55"/>
      <c r="M24" s="54" t="s">
        <v>234</v>
      </c>
      <c r="N24" s="46"/>
      <c r="O24" s="46"/>
    </row>
    <row r="25" spans="2:15" outlineLevel="1" x14ac:dyDescent="0.3">
      <c r="B25" s="112" t="s">
        <v>331</v>
      </c>
      <c r="C25" s="122">
        <v>0.02</v>
      </c>
      <c r="D25" s="44"/>
      <c r="E25" s="195"/>
      <c r="F25" s="75">
        <f>F26/E26-100%</f>
        <v>0</v>
      </c>
      <c r="G25" s="65">
        <f>$C25</f>
        <v>0.02</v>
      </c>
      <c r="H25" s="65">
        <f t="shared" ref="H25:K25" si="6">$C25</f>
        <v>0.02</v>
      </c>
      <c r="I25" s="65">
        <f t="shared" si="6"/>
        <v>0.02</v>
      </c>
      <c r="J25" s="65">
        <f t="shared" si="6"/>
        <v>0.02</v>
      </c>
      <c r="K25" s="65">
        <f t="shared" si="6"/>
        <v>0.02</v>
      </c>
      <c r="L25" s="54"/>
      <c r="M25" s="54" t="s">
        <v>37</v>
      </c>
      <c r="N25" s="44"/>
      <c r="O25" s="44"/>
    </row>
    <row r="26" spans="2:15" outlineLevel="1" x14ac:dyDescent="0.3">
      <c r="B26" s="112" t="s">
        <v>332</v>
      </c>
      <c r="C26" s="44"/>
      <c r="D26" s="44"/>
      <c r="E26" s="137">
        <f>E27/E24</f>
        <v>-59</v>
      </c>
      <c r="F26" s="137">
        <f>F27/F24</f>
        <v>-59</v>
      </c>
      <c r="G26" s="137">
        <f>F26*(1+G25)</f>
        <v>-60.18</v>
      </c>
      <c r="H26" s="137">
        <f t="shared" ref="H26:K26" si="7">G26*(1+H25)</f>
        <v>-61.383600000000001</v>
      </c>
      <c r="I26" s="137">
        <f t="shared" si="7"/>
        <v>-62.611272</v>
      </c>
      <c r="J26" s="137">
        <f t="shared" si="7"/>
        <v>-63.863497440000003</v>
      </c>
      <c r="K26" s="137">
        <f t="shared" si="7"/>
        <v>-65.140767388800001</v>
      </c>
      <c r="L26" s="54"/>
      <c r="M26" s="54" t="s">
        <v>334</v>
      </c>
      <c r="N26" s="44"/>
      <c r="O26" s="44"/>
    </row>
    <row r="27" spans="2:15" s="2" customFormat="1" outlineLevel="1" x14ac:dyDescent="0.3">
      <c r="B27" s="113" t="s">
        <v>356</v>
      </c>
      <c r="C27" s="46"/>
      <c r="D27" s="46"/>
      <c r="E27" s="136">
        <f>E30-E29</f>
        <v>-295</v>
      </c>
      <c r="F27" s="136">
        <f>F30-F29</f>
        <v>-295</v>
      </c>
      <c r="G27" s="136">
        <f>G24*G26</f>
        <v>-361.08</v>
      </c>
      <c r="H27" s="136">
        <f>H24*H26</f>
        <v>-368.30160000000001</v>
      </c>
      <c r="I27" s="136">
        <f>I24*I26</f>
        <v>-375.66763200000003</v>
      </c>
      <c r="J27" s="136">
        <f>J24*J26</f>
        <v>-383.18098464000002</v>
      </c>
      <c r="K27" s="136">
        <f>K24*K26</f>
        <v>-455.98537172160002</v>
      </c>
      <c r="L27" s="55"/>
      <c r="M27" s="54" t="s">
        <v>335</v>
      </c>
      <c r="N27" s="46"/>
      <c r="O27" s="46"/>
    </row>
    <row r="28" spans="2:15" outlineLevel="1" x14ac:dyDescent="0.3">
      <c r="B28" s="44"/>
      <c r="C28" s="44"/>
      <c r="D28" s="44"/>
      <c r="E28" s="137"/>
      <c r="F28" s="137"/>
      <c r="G28" s="137"/>
      <c r="H28" s="137"/>
      <c r="I28" s="137"/>
      <c r="J28" s="137"/>
      <c r="K28" s="137"/>
      <c r="L28" s="54"/>
      <c r="M28" s="54"/>
      <c r="N28" s="44"/>
      <c r="O28" s="44"/>
    </row>
    <row r="29" spans="2:15" s="36" customFormat="1" outlineLevel="1" x14ac:dyDescent="0.3">
      <c r="B29" s="66" t="s">
        <v>254</v>
      </c>
      <c r="C29" s="66"/>
      <c r="D29" s="66"/>
      <c r="E29" s="133">
        <v>-5</v>
      </c>
      <c r="F29" s="133">
        <v>-20</v>
      </c>
      <c r="G29" s="133">
        <v>-10</v>
      </c>
      <c r="H29" s="133">
        <v>-7</v>
      </c>
      <c r="I29" s="133">
        <v>-7</v>
      </c>
      <c r="J29" s="133">
        <v>-7</v>
      </c>
      <c r="K29" s="133">
        <v>-7</v>
      </c>
      <c r="L29" s="63"/>
      <c r="M29" s="80" t="s">
        <v>336</v>
      </c>
      <c r="N29" s="73"/>
      <c r="O29" s="73"/>
    </row>
    <row r="30" spans="2:15" s="36" customFormat="1" outlineLevel="1" x14ac:dyDescent="0.3">
      <c r="B30" s="73" t="str">
        <f>RR!B11</f>
        <v>Personeelskosten</v>
      </c>
      <c r="C30" s="73"/>
      <c r="D30" s="73"/>
      <c r="E30" s="159">
        <f>'1. Realisatie RR en BS'!E15</f>
        <v>-300</v>
      </c>
      <c r="F30" s="159">
        <f>'1. Realisatie RR en BS'!F15</f>
        <v>-315</v>
      </c>
      <c r="G30" s="138">
        <f>SUM(G27:G29)</f>
        <v>-371.08</v>
      </c>
      <c r="H30" s="138">
        <f t="shared" ref="H30:K30" si="8">SUM(H27:H29)</f>
        <v>-375.30160000000001</v>
      </c>
      <c r="I30" s="138">
        <f t="shared" si="8"/>
        <v>-382.66763200000003</v>
      </c>
      <c r="J30" s="138">
        <f t="shared" si="8"/>
        <v>-390.18098464000002</v>
      </c>
      <c r="K30" s="138">
        <f t="shared" si="8"/>
        <v>-462.98537172160002</v>
      </c>
      <c r="L30" s="63"/>
      <c r="M30" s="80" t="s">
        <v>22</v>
      </c>
      <c r="N30" s="73"/>
      <c r="O30" s="73"/>
    </row>
    <row r="31" spans="2:15" x14ac:dyDescent="0.3">
      <c r="B31" s="44"/>
      <c r="C31" s="44"/>
      <c r="D31" s="44"/>
      <c r="E31" s="60"/>
      <c r="F31" s="60"/>
      <c r="G31" s="60"/>
      <c r="H31" s="60"/>
      <c r="I31" s="60"/>
      <c r="J31" s="60"/>
      <c r="K31" s="60"/>
      <c r="L31" s="54"/>
      <c r="M31" s="54"/>
      <c r="N31" s="44"/>
      <c r="O31" s="44"/>
    </row>
    <row r="32" spans="2:15" s="2" customFormat="1" x14ac:dyDescent="0.3">
      <c r="B32" s="131" t="s">
        <v>360</v>
      </c>
      <c r="C32" s="132"/>
      <c r="D32" s="131"/>
      <c r="E32" s="132" t="str">
        <f t="shared" ref="E32:K32" si="9">E5</f>
        <v>R 2024</v>
      </c>
      <c r="F32" s="132" t="str">
        <f t="shared" si="9"/>
        <v>R 2025</v>
      </c>
      <c r="G32" s="132" t="str">
        <f t="shared" si="9"/>
        <v>P 2026</v>
      </c>
      <c r="H32" s="132" t="str">
        <f t="shared" si="9"/>
        <v>P 2027</v>
      </c>
      <c r="I32" s="132" t="str">
        <f t="shared" si="9"/>
        <v>P 2028</v>
      </c>
      <c r="J32" s="132" t="str">
        <f t="shared" si="9"/>
        <v>P 2029</v>
      </c>
      <c r="K32" s="132" t="str">
        <f t="shared" si="9"/>
        <v>P 2030</v>
      </c>
      <c r="L32" s="59"/>
      <c r="M32" s="59"/>
      <c r="N32" s="59"/>
      <c r="O32" s="59"/>
    </row>
    <row r="33" spans="2:15" s="15" customFormat="1" outlineLevel="1" x14ac:dyDescent="0.3">
      <c r="B33" s="63"/>
      <c r="C33" s="63"/>
      <c r="D33" s="63"/>
      <c r="E33" s="64"/>
      <c r="F33" s="64"/>
      <c r="G33" s="64"/>
      <c r="H33" s="64"/>
      <c r="I33" s="64"/>
      <c r="J33" s="64"/>
      <c r="K33" s="64"/>
      <c r="L33" s="63"/>
      <c r="M33" s="63"/>
      <c r="N33" s="63"/>
      <c r="O33" s="63"/>
    </row>
    <row r="34" spans="2:15" outlineLevel="1" x14ac:dyDescent="0.3">
      <c r="B34" s="46" t="s">
        <v>177</v>
      </c>
      <c r="C34" s="46"/>
      <c r="D34" s="46"/>
      <c r="E34" s="159">
        <f>'3. Prognose BS'!E25</f>
        <v>-10</v>
      </c>
      <c r="F34" s="159">
        <f>'3. Prognose BS'!F25</f>
        <v>-11</v>
      </c>
      <c r="G34" s="159">
        <f>'3. Prognose BS'!G25</f>
        <v>-19.903794300000001</v>
      </c>
      <c r="H34" s="159">
        <f>'3. Prognose BS'!H25</f>
        <v>-23</v>
      </c>
      <c r="I34" s="159">
        <f>'3. Prognose BS'!I25</f>
        <v>-37</v>
      </c>
      <c r="J34" s="159">
        <f>'3. Prognose BS'!J25</f>
        <v>-40</v>
      </c>
      <c r="K34" s="159">
        <f>'3. Prognose BS'!K25</f>
        <v>-40</v>
      </c>
      <c r="L34" s="54"/>
      <c r="M34" s="54" t="s">
        <v>195</v>
      </c>
      <c r="N34" s="44"/>
      <c r="O34" s="44"/>
    </row>
    <row r="35" spans="2:15" outlineLevel="1" x14ac:dyDescent="0.3">
      <c r="B35" s="44"/>
      <c r="C35" s="44"/>
      <c r="D35" s="44"/>
      <c r="E35" s="60"/>
      <c r="F35" s="60"/>
      <c r="G35" s="60"/>
      <c r="H35" s="60"/>
      <c r="I35" s="60"/>
      <c r="J35" s="60"/>
      <c r="K35" s="60"/>
      <c r="L35" s="54"/>
      <c r="M35" s="54"/>
      <c r="N35" s="44"/>
      <c r="O35" s="44"/>
    </row>
    <row r="36" spans="2:15" outlineLevel="1" x14ac:dyDescent="0.3">
      <c r="B36" s="44" t="s">
        <v>357</v>
      </c>
      <c r="C36" s="44"/>
      <c r="D36" s="44"/>
      <c r="E36" s="160">
        <f>'1. Realisatie RR en BS'!E17</f>
        <v>-140</v>
      </c>
      <c r="F36" s="160">
        <f>'1. Realisatie RR en BS'!F17</f>
        <v>-150</v>
      </c>
      <c r="G36" s="141">
        <f>F36+(F36*G37)</f>
        <v>-153</v>
      </c>
      <c r="H36" s="141">
        <f>G36+(G36*H37)</f>
        <v>-156.06</v>
      </c>
      <c r="I36" s="141">
        <f>H36+(H36*I37)</f>
        <v>-159.18119999999999</v>
      </c>
      <c r="J36" s="141">
        <f>I36+(I36*J37)</f>
        <v>-162.364824</v>
      </c>
      <c r="K36" s="141">
        <f>J36+(J36*K37)</f>
        <v>-165.61212047999999</v>
      </c>
      <c r="L36" s="54"/>
      <c r="M36" s="54"/>
      <c r="N36" s="44"/>
      <c r="O36" s="44"/>
    </row>
    <row r="37" spans="2:15" outlineLevel="1" x14ac:dyDescent="0.3">
      <c r="B37" s="44" t="s">
        <v>171</v>
      </c>
      <c r="C37" s="122">
        <v>0.02</v>
      </c>
      <c r="D37" s="44"/>
      <c r="E37" s="189"/>
      <c r="F37" s="74">
        <f>(F36-E36)/E36</f>
        <v>7.1428571428571425E-2</v>
      </c>
      <c r="G37" s="49">
        <f>$C37</f>
        <v>0.02</v>
      </c>
      <c r="H37" s="49">
        <f>$C37</f>
        <v>0.02</v>
      </c>
      <c r="I37" s="49">
        <f>$C37</f>
        <v>0.02</v>
      </c>
      <c r="J37" s="49">
        <f>$C37</f>
        <v>0.02</v>
      </c>
      <c r="K37" s="49">
        <f>$C37</f>
        <v>0.02</v>
      </c>
      <c r="L37" s="54"/>
      <c r="M37" s="54"/>
      <c r="N37" s="44"/>
      <c r="O37" s="44"/>
    </row>
    <row r="38" spans="2:15" outlineLevel="1" x14ac:dyDescent="0.3">
      <c r="B38" s="44" t="s">
        <v>358</v>
      </c>
      <c r="C38" s="45"/>
      <c r="D38" s="45"/>
      <c r="E38" s="174"/>
      <c r="F38" s="174"/>
      <c r="G38" s="161"/>
      <c r="H38" s="161">
        <v>-25</v>
      </c>
      <c r="I38" s="161">
        <v>-25</v>
      </c>
      <c r="J38" s="161">
        <v>-26</v>
      </c>
      <c r="K38" s="161">
        <v>-20</v>
      </c>
      <c r="L38" s="54"/>
      <c r="M38" s="54"/>
      <c r="N38" s="44"/>
      <c r="O38" s="44"/>
    </row>
    <row r="39" spans="2:15" outlineLevel="1" x14ac:dyDescent="0.3">
      <c r="B39" s="46" t="s">
        <v>349</v>
      </c>
      <c r="C39" s="47"/>
      <c r="D39" s="47"/>
      <c r="E39" s="136">
        <f>E36+E38</f>
        <v>-140</v>
      </c>
      <c r="F39" s="136">
        <f t="shared" ref="F39:K39" si="10">F36+F38</f>
        <v>-150</v>
      </c>
      <c r="G39" s="136">
        <f t="shared" si="10"/>
        <v>-153</v>
      </c>
      <c r="H39" s="136">
        <f t="shared" si="10"/>
        <v>-181.06</v>
      </c>
      <c r="I39" s="136">
        <f t="shared" si="10"/>
        <v>-184.18119999999999</v>
      </c>
      <c r="J39" s="136">
        <f t="shared" si="10"/>
        <v>-188.364824</v>
      </c>
      <c r="K39" s="136">
        <f t="shared" si="10"/>
        <v>-185.61212047999999</v>
      </c>
      <c r="L39" s="54"/>
      <c r="M39" s="54" t="s">
        <v>22</v>
      </c>
      <c r="N39" s="44"/>
      <c r="O39" s="44"/>
    </row>
    <row r="40" spans="2:15" outlineLevel="1" x14ac:dyDescent="0.3">
      <c r="B40" s="44"/>
      <c r="C40" s="44"/>
      <c r="D40" s="44"/>
      <c r="E40" s="137"/>
      <c r="F40" s="137"/>
      <c r="G40" s="137"/>
      <c r="H40" s="137"/>
      <c r="I40" s="137"/>
      <c r="J40" s="137"/>
      <c r="K40" s="137"/>
      <c r="L40" s="54"/>
      <c r="M40" s="54"/>
      <c r="N40" s="44"/>
      <c r="O40" s="44"/>
    </row>
    <row r="41" spans="2:15" outlineLevel="1" x14ac:dyDescent="0.3">
      <c r="B41" s="44" t="s">
        <v>362</v>
      </c>
      <c r="C41" s="46"/>
      <c r="D41" s="46"/>
      <c r="E41" s="159">
        <f>'1. Realisatie RR en BS'!E18</f>
        <v>-25</v>
      </c>
      <c r="F41" s="159">
        <f>'1. Realisatie RR en BS'!F18</f>
        <v>-26</v>
      </c>
      <c r="G41" s="146">
        <f>G42*G11</f>
        <v>-26.775000000000002</v>
      </c>
      <c r="H41" s="146">
        <f>H42*H11</f>
        <v>-29.586375</v>
      </c>
      <c r="I41" s="146">
        <f>I42*I11</f>
        <v>-32.499495000000003</v>
      </c>
      <c r="J41" s="146">
        <f>J42*J11</f>
        <v>-35.51730525</v>
      </c>
      <c r="K41" s="146">
        <f>K42*K11</f>
        <v>-36.227651354999999</v>
      </c>
      <c r="L41" s="54"/>
      <c r="M41" s="54" t="s">
        <v>22</v>
      </c>
      <c r="N41" s="44"/>
      <c r="O41" s="44"/>
    </row>
    <row r="42" spans="2:15" outlineLevel="1" x14ac:dyDescent="0.3">
      <c r="B42" s="44" t="s">
        <v>176</v>
      </c>
      <c r="C42" s="122">
        <v>-0.05</v>
      </c>
      <c r="D42" s="44"/>
      <c r="E42" s="74">
        <f>E41/E11</f>
        <v>-0.05</v>
      </c>
      <c r="F42" s="74">
        <f>F41/F11</f>
        <v>-4.9523809523809526E-2</v>
      </c>
      <c r="G42" s="49">
        <f>$C42</f>
        <v>-0.05</v>
      </c>
      <c r="H42" s="49">
        <f t="shared" ref="H42:K42" si="11">$C42</f>
        <v>-0.05</v>
      </c>
      <c r="I42" s="49">
        <f t="shared" si="11"/>
        <v>-0.05</v>
      </c>
      <c r="J42" s="49">
        <f t="shared" si="11"/>
        <v>-0.05</v>
      </c>
      <c r="K42" s="49">
        <f t="shared" si="11"/>
        <v>-0.05</v>
      </c>
      <c r="L42" s="54"/>
      <c r="M42" s="54" t="s">
        <v>237</v>
      </c>
      <c r="N42" s="44"/>
      <c r="O42" s="44"/>
    </row>
    <row r="43" spans="2:15" outlineLevel="1" x14ac:dyDescent="0.3">
      <c r="B43" s="44" t="s">
        <v>359</v>
      </c>
      <c r="C43" s="45"/>
      <c r="D43" s="45"/>
      <c r="E43" s="174"/>
      <c r="F43" s="174"/>
      <c r="G43" s="161"/>
      <c r="H43" s="161">
        <v>-25</v>
      </c>
      <c r="I43" s="161">
        <v>-25</v>
      </c>
      <c r="J43" s="161">
        <v>-26</v>
      </c>
      <c r="K43" s="161">
        <v>-20</v>
      </c>
      <c r="L43" s="54"/>
      <c r="M43" s="54"/>
      <c r="N43" s="44"/>
      <c r="O43" s="44"/>
    </row>
    <row r="44" spans="2:15" outlineLevel="1" x14ac:dyDescent="0.3">
      <c r="B44" s="46" t="s">
        <v>351</v>
      </c>
      <c r="C44" s="47"/>
      <c r="D44" s="47"/>
      <c r="E44" s="136">
        <f>E41+E43</f>
        <v>-25</v>
      </c>
      <c r="F44" s="136">
        <f t="shared" ref="F44:K46" si="12">F41+F43</f>
        <v>-26</v>
      </c>
      <c r="G44" s="136">
        <f t="shared" si="12"/>
        <v>-26.775000000000002</v>
      </c>
      <c r="H44" s="136">
        <f t="shared" si="12"/>
        <v>-54.586375000000004</v>
      </c>
      <c r="I44" s="136">
        <f t="shared" si="12"/>
        <v>-57.499495000000003</v>
      </c>
      <c r="J44" s="136">
        <f t="shared" si="12"/>
        <v>-61.51730525</v>
      </c>
      <c r="K44" s="136">
        <f t="shared" si="12"/>
        <v>-56.227651354999999</v>
      </c>
      <c r="L44" s="54"/>
      <c r="M44" s="54" t="s">
        <v>22</v>
      </c>
      <c r="N44" s="44"/>
      <c r="O44" s="44"/>
    </row>
    <row r="45" spans="2:15" outlineLevel="1" x14ac:dyDescent="0.3">
      <c r="B45" s="44"/>
      <c r="C45" s="44"/>
      <c r="D45" s="44"/>
      <c r="E45" s="60"/>
      <c r="F45" s="60"/>
      <c r="G45" s="60"/>
      <c r="H45" s="60"/>
      <c r="I45" s="60"/>
      <c r="J45" s="60"/>
      <c r="K45" s="60"/>
      <c r="L45" s="54"/>
      <c r="M45" s="54"/>
      <c r="N45" s="44"/>
      <c r="O45" s="44"/>
    </row>
    <row r="46" spans="2:15" outlineLevel="1" x14ac:dyDescent="0.3">
      <c r="B46" s="46" t="s">
        <v>360</v>
      </c>
      <c r="C46" s="44"/>
      <c r="D46" s="44"/>
      <c r="E46" s="136">
        <f>E34+E39+E44</f>
        <v>-175</v>
      </c>
      <c r="F46" s="136">
        <f t="shared" ref="F46:K46" si="13">F34+F39+F44</f>
        <v>-187</v>
      </c>
      <c r="G46" s="136">
        <f t="shared" si="13"/>
        <v>-199.67879430000002</v>
      </c>
      <c r="H46" s="136">
        <f t="shared" si="13"/>
        <v>-258.64637500000003</v>
      </c>
      <c r="I46" s="136">
        <f t="shared" si="13"/>
        <v>-278.68069500000001</v>
      </c>
      <c r="J46" s="136">
        <f t="shared" si="13"/>
        <v>-289.88212924999999</v>
      </c>
      <c r="K46" s="136">
        <f t="shared" si="13"/>
        <v>-281.83977183499996</v>
      </c>
      <c r="L46" s="54"/>
      <c r="M46" s="54"/>
      <c r="N46" s="44"/>
      <c r="O46" s="44"/>
    </row>
    <row r="47" spans="2:15" ht="15" outlineLevel="1" thickBot="1" x14ac:dyDescent="0.35">
      <c r="B47" s="46" t="s">
        <v>361</v>
      </c>
      <c r="C47" s="44"/>
      <c r="D47" s="44"/>
      <c r="E47" s="139">
        <f>E30+E46</f>
        <v>-475</v>
      </c>
      <c r="F47" s="139">
        <f t="shared" ref="F47:K47" si="14">F30+F46</f>
        <v>-502</v>
      </c>
      <c r="G47" s="139">
        <f t="shared" si="14"/>
        <v>-570.75879429999998</v>
      </c>
      <c r="H47" s="139">
        <f t="shared" si="14"/>
        <v>-633.94797500000004</v>
      </c>
      <c r="I47" s="139">
        <f t="shared" si="14"/>
        <v>-661.34832700000004</v>
      </c>
      <c r="J47" s="139">
        <f t="shared" si="14"/>
        <v>-680.06311389000007</v>
      </c>
      <c r="K47" s="139">
        <f t="shared" si="14"/>
        <v>-744.82514355659998</v>
      </c>
      <c r="L47" s="54"/>
      <c r="M47" s="54"/>
      <c r="N47" s="44"/>
      <c r="O47" s="44"/>
    </row>
    <row r="48" spans="2:15" ht="15" outlineLevel="1" thickTop="1" x14ac:dyDescent="0.3">
      <c r="B48" s="44"/>
      <c r="C48" s="44"/>
      <c r="D48" s="44"/>
      <c r="E48" s="60"/>
      <c r="F48" s="60"/>
      <c r="G48" s="60"/>
      <c r="H48" s="60"/>
      <c r="I48" s="60"/>
      <c r="J48" s="60"/>
      <c r="K48" s="60"/>
      <c r="L48" s="54"/>
      <c r="M48" s="54"/>
      <c r="N48" s="44"/>
      <c r="O48" s="44"/>
    </row>
    <row r="49" spans="2:15" ht="15" outlineLevel="1" thickBot="1" x14ac:dyDescent="0.35">
      <c r="B49" s="46" t="s">
        <v>353</v>
      </c>
      <c r="C49" s="44"/>
      <c r="D49" s="44"/>
      <c r="E49" s="139">
        <f>E19+E47</f>
        <v>75</v>
      </c>
      <c r="F49" s="139">
        <f t="shared" ref="F49:K49" si="15">F19+F47</f>
        <v>78</v>
      </c>
      <c r="G49" s="139">
        <f t="shared" si="15"/>
        <v>50.841205700000046</v>
      </c>
      <c r="H49" s="139">
        <f t="shared" si="15"/>
        <v>15.001524999999901</v>
      </c>
      <c r="I49" s="139">
        <f t="shared" si="15"/>
        <v>47.008013000000005</v>
      </c>
      <c r="J49" s="139">
        <f t="shared" si="15"/>
        <v>89.81675990999986</v>
      </c>
      <c r="K49" s="139">
        <f t="shared" si="15"/>
        <v>40.452327719400046</v>
      </c>
      <c r="L49" s="54"/>
      <c r="M49" s="54" t="s">
        <v>238</v>
      </c>
      <c r="N49" s="44"/>
      <c r="O49" s="44"/>
    </row>
    <row r="50" spans="2:15" ht="15" thickTop="1" x14ac:dyDescent="0.3">
      <c r="B50" s="44"/>
      <c r="C50" s="44"/>
      <c r="D50" s="44"/>
      <c r="E50" s="66"/>
      <c r="F50" s="66"/>
      <c r="G50" s="66"/>
      <c r="H50" s="66"/>
      <c r="I50" s="66"/>
      <c r="J50" s="66"/>
      <c r="K50" s="66"/>
      <c r="L50" s="54"/>
      <c r="M50" s="54"/>
      <c r="N50" s="44"/>
      <c r="O50" s="44"/>
    </row>
    <row r="51" spans="2:15" s="2" customFormat="1" x14ac:dyDescent="0.3">
      <c r="B51" s="131" t="s">
        <v>180</v>
      </c>
      <c r="C51" s="132"/>
      <c r="D51" s="131"/>
      <c r="E51" s="132" t="str">
        <f>E5</f>
        <v>R 2024</v>
      </c>
      <c r="F51" s="132" t="str">
        <f>F5</f>
        <v>R 2025</v>
      </c>
      <c r="G51" s="132" t="str">
        <f>G5</f>
        <v>P 2026</v>
      </c>
      <c r="H51" s="132" t="str">
        <f>H5</f>
        <v>P 2027</v>
      </c>
      <c r="I51" s="132" t="str">
        <f>I5</f>
        <v>P 2028</v>
      </c>
      <c r="J51" s="132" t="str">
        <f>J5</f>
        <v>P 2029</v>
      </c>
      <c r="K51" s="132" t="str">
        <f>K5</f>
        <v>P 2030</v>
      </c>
      <c r="L51" s="59"/>
      <c r="M51" s="59"/>
      <c r="N51" s="59"/>
      <c r="O51" s="59"/>
    </row>
    <row r="52" spans="2:15" s="2" customFormat="1" outlineLevel="1" x14ac:dyDescent="0.3">
      <c r="B52" s="46"/>
      <c r="C52" s="46"/>
      <c r="D52" s="46"/>
      <c r="E52" s="61"/>
      <c r="F52" s="61"/>
      <c r="G52" s="61"/>
      <c r="H52" s="61"/>
      <c r="I52" s="61"/>
      <c r="J52" s="61"/>
      <c r="K52" s="61"/>
      <c r="L52" s="55"/>
      <c r="M52" s="59"/>
      <c r="N52" s="59"/>
      <c r="O52" s="59"/>
    </row>
    <row r="53" spans="2:15" outlineLevel="1" x14ac:dyDescent="0.3">
      <c r="B53" s="46" t="str">
        <f>'1. Realisatie RR en BS'!B23</f>
        <v>Niet-operationele baten/lasten</v>
      </c>
      <c r="C53" s="46"/>
      <c r="D53" s="46"/>
      <c r="E53" s="159">
        <f>'1. Realisatie RR en BS'!E23</f>
        <v>0</v>
      </c>
      <c r="F53" s="159">
        <f>'1. Realisatie RR en BS'!F23</f>
        <v>-10</v>
      </c>
      <c r="G53" s="162">
        <v>0</v>
      </c>
      <c r="H53" s="162">
        <v>40</v>
      </c>
      <c r="I53" s="162">
        <v>0</v>
      </c>
      <c r="J53" s="162">
        <v>0</v>
      </c>
      <c r="K53" s="162">
        <v>0</v>
      </c>
      <c r="L53" s="44"/>
      <c r="M53" s="44" t="s">
        <v>197</v>
      </c>
      <c r="N53" s="44"/>
      <c r="O53" s="44"/>
    </row>
    <row r="54" spans="2:15" outlineLevel="1" x14ac:dyDescent="0.3">
      <c r="B54" s="44"/>
      <c r="C54" s="44"/>
      <c r="D54" s="44"/>
      <c r="E54" s="137"/>
      <c r="F54" s="137"/>
      <c r="G54" s="137"/>
      <c r="H54" s="137"/>
      <c r="I54" s="137"/>
      <c r="J54" s="137"/>
      <c r="K54" s="137"/>
      <c r="L54" s="44"/>
      <c r="M54" s="44"/>
      <c r="N54" s="44"/>
      <c r="O54" s="44"/>
    </row>
    <row r="55" spans="2:15" outlineLevel="1" x14ac:dyDescent="0.3">
      <c r="B55" s="46" t="str">
        <f>RR!B20</f>
        <v>Verkoopresultaat vaste activa</v>
      </c>
      <c r="C55" s="44"/>
      <c r="D55" s="44"/>
      <c r="E55" s="159">
        <f>'3. Prognose BS'!E32</f>
        <v>0</v>
      </c>
      <c r="F55" s="159">
        <f>'3. Prognose BS'!F32</f>
        <v>14</v>
      </c>
      <c r="G55" s="159">
        <f>'3. Prognose BS'!G32</f>
        <v>0</v>
      </c>
      <c r="H55" s="159">
        <f>'3. Prognose BS'!H32</f>
        <v>4</v>
      </c>
      <c r="I55" s="159">
        <f>'3. Prognose BS'!I32</f>
        <v>-6</v>
      </c>
      <c r="J55" s="159">
        <f>'3. Prognose BS'!J32</f>
        <v>0</v>
      </c>
      <c r="K55" s="159">
        <f>'3. Prognose BS'!K32</f>
        <v>0</v>
      </c>
      <c r="L55" s="44"/>
      <c r="M55" s="54" t="s">
        <v>195</v>
      </c>
      <c r="N55" s="44"/>
      <c r="O55" s="44"/>
    </row>
    <row r="56" spans="2:15" outlineLevel="1" x14ac:dyDescent="0.3">
      <c r="B56" s="44"/>
      <c r="C56" s="44"/>
      <c r="D56" s="44"/>
      <c r="E56" s="137"/>
      <c r="F56" s="137"/>
      <c r="G56" s="137"/>
      <c r="H56" s="137"/>
      <c r="I56" s="137"/>
      <c r="J56" s="137"/>
      <c r="K56" s="137"/>
      <c r="L56" s="44"/>
      <c r="M56" s="44"/>
      <c r="N56" s="44"/>
      <c r="O56" s="44"/>
    </row>
    <row r="57" spans="2:15" outlineLevel="1" x14ac:dyDescent="0.3">
      <c r="B57" s="46" t="str">
        <f>RR!B21</f>
        <v>Financiële baten</v>
      </c>
      <c r="C57" s="44"/>
      <c r="D57" s="44"/>
      <c r="E57" s="159">
        <f>'1. Realisatie RR en BS'!E25</f>
        <v>1</v>
      </c>
      <c r="F57" s="159">
        <f>'1. Realisatie RR en BS'!F25</f>
        <v>2</v>
      </c>
      <c r="G57" s="162">
        <v>2</v>
      </c>
      <c r="H57" s="162">
        <v>2</v>
      </c>
      <c r="I57" s="162">
        <v>2</v>
      </c>
      <c r="J57" s="162">
        <v>2</v>
      </c>
      <c r="K57" s="162">
        <v>2</v>
      </c>
      <c r="L57" s="60"/>
      <c r="M57" s="44" t="s">
        <v>22</v>
      </c>
      <c r="N57" s="44"/>
      <c r="O57" s="44"/>
    </row>
    <row r="58" spans="2:15" s="2" customFormat="1" outlineLevel="1" x14ac:dyDescent="0.3">
      <c r="B58" s="46"/>
      <c r="C58" s="46"/>
      <c r="D58" s="46"/>
      <c r="E58" s="163"/>
      <c r="F58" s="163"/>
      <c r="G58" s="163"/>
      <c r="H58" s="163"/>
      <c r="I58" s="163"/>
      <c r="J58" s="163"/>
      <c r="K58" s="163"/>
      <c r="L58" s="55"/>
      <c r="M58" s="59"/>
      <c r="N58" s="59"/>
      <c r="O58" s="59"/>
    </row>
    <row r="59" spans="2:15" outlineLevel="1" x14ac:dyDescent="0.3">
      <c r="B59" s="44" t="s">
        <v>317</v>
      </c>
      <c r="C59" s="44"/>
      <c r="D59" s="44"/>
      <c r="E59" s="160">
        <f>'3. Prognose BS'!E103</f>
        <v>-4</v>
      </c>
      <c r="F59" s="160">
        <f>'3. Prognose BS'!F103</f>
        <v>-4</v>
      </c>
      <c r="G59" s="160">
        <f>'3. Prognose BS'!G103</f>
        <v>-2.9</v>
      </c>
      <c r="H59" s="160">
        <f>'3. Prognose BS'!H103</f>
        <v>-3.4</v>
      </c>
      <c r="I59" s="160">
        <f>'3. Prognose BS'!I103</f>
        <v>-3.6999999999999997</v>
      </c>
      <c r="J59" s="160">
        <f>'3. Prognose BS'!J103</f>
        <v>-2.125</v>
      </c>
      <c r="K59" s="160">
        <f>'3. Prognose BS'!K103</f>
        <v>-1.375</v>
      </c>
      <c r="L59" s="44"/>
      <c r="M59" s="54" t="s">
        <v>178</v>
      </c>
      <c r="N59" s="44"/>
      <c r="O59" s="44"/>
    </row>
    <row r="60" spans="2:15" outlineLevel="1" x14ac:dyDescent="0.3">
      <c r="B60" s="44" t="s">
        <v>318</v>
      </c>
      <c r="C60" s="44"/>
      <c r="D60" s="44"/>
      <c r="E60" s="160">
        <f>'3. Prognose BS'!E112</f>
        <v>-1</v>
      </c>
      <c r="F60" s="160">
        <f>'3. Prognose BS'!F112</f>
        <v>-2</v>
      </c>
      <c r="G60" s="160">
        <f>'3. Prognose BS'!G112</f>
        <v>-0.14000000000000001</v>
      </c>
      <c r="H60" s="160">
        <f>'3. Prognose BS'!H112</f>
        <v>-1.7500000000000002</v>
      </c>
      <c r="I60" s="160">
        <f>'3. Prognose BS'!I112</f>
        <v>-2.6250000000000004</v>
      </c>
      <c r="J60" s="160">
        <f>'3. Prognose BS'!J112</f>
        <v>-0.87500000000000011</v>
      </c>
      <c r="K60" s="160">
        <f>'3. Prognose BS'!K112</f>
        <v>0</v>
      </c>
      <c r="L60" s="44"/>
      <c r="M60" s="54" t="s">
        <v>178</v>
      </c>
      <c r="N60" s="44"/>
      <c r="O60" s="44"/>
    </row>
    <row r="61" spans="2:15" s="2" customFormat="1" outlineLevel="1" x14ac:dyDescent="0.3">
      <c r="B61" s="46" t="str">
        <f>RR!B22</f>
        <v>Financiële lasten</v>
      </c>
      <c r="C61" s="46"/>
      <c r="D61" s="46"/>
      <c r="E61" s="136">
        <f t="shared" ref="E61:K61" si="16">SUM(E59:E60)</f>
        <v>-5</v>
      </c>
      <c r="F61" s="136">
        <f t="shared" si="16"/>
        <v>-6</v>
      </c>
      <c r="G61" s="136">
        <f t="shared" si="16"/>
        <v>-3.04</v>
      </c>
      <c r="H61" s="136">
        <f t="shared" si="16"/>
        <v>-5.15</v>
      </c>
      <c r="I61" s="136">
        <f t="shared" si="16"/>
        <v>-6.3250000000000002</v>
      </c>
      <c r="J61" s="136">
        <f t="shared" si="16"/>
        <v>-3</v>
      </c>
      <c r="K61" s="136">
        <f t="shared" si="16"/>
        <v>-1.375</v>
      </c>
      <c r="L61" s="55"/>
      <c r="M61" s="54" t="s">
        <v>22</v>
      </c>
      <c r="N61" s="55"/>
      <c r="O61" s="55"/>
    </row>
    <row r="62" spans="2:15" x14ac:dyDescent="0.3">
      <c r="B62" s="44"/>
      <c r="C62" s="44"/>
      <c r="D62" s="44"/>
      <c r="E62" s="137"/>
      <c r="F62" s="137"/>
      <c r="G62" s="137"/>
      <c r="H62" s="137"/>
      <c r="I62" s="137"/>
      <c r="J62" s="137"/>
      <c r="K62" s="137"/>
      <c r="L62" s="44"/>
      <c r="M62" s="44"/>
      <c r="N62" s="44"/>
      <c r="O62" s="44"/>
    </row>
    <row r="63" spans="2:15" s="2" customFormat="1" x14ac:dyDescent="0.3">
      <c r="B63" s="131" t="s">
        <v>6</v>
      </c>
      <c r="C63" s="132"/>
      <c r="D63" s="131"/>
      <c r="E63" s="132" t="str">
        <f>E5</f>
        <v>R 2024</v>
      </c>
      <c r="F63" s="132" t="str">
        <f>F5</f>
        <v>R 2025</v>
      </c>
      <c r="G63" s="132" t="str">
        <f>G5</f>
        <v>P 2026</v>
      </c>
      <c r="H63" s="132" t="str">
        <f>H5</f>
        <v>P 2027</v>
      </c>
      <c r="I63" s="132" t="str">
        <f>I5</f>
        <v>P 2028</v>
      </c>
      <c r="J63" s="132" t="str">
        <f>J5</f>
        <v>P 2029</v>
      </c>
      <c r="K63" s="132" t="str">
        <f>K5</f>
        <v>P 2030</v>
      </c>
      <c r="L63" s="59"/>
      <c r="M63" s="59"/>
      <c r="N63" s="59"/>
      <c r="O63" s="59"/>
    </row>
    <row r="64" spans="2:15" s="2" customFormat="1" outlineLevel="1" x14ac:dyDescent="0.3">
      <c r="B64" s="46"/>
      <c r="C64" s="46"/>
      <c r="D64" s="46"/>
      <c r="E64" s="61"/>
      <c r="F64" s="61"/>
      <c r="G64" s="61"/>
      <c r="H64" s="61"/>
      <c r="I64" s="61"/>
      <c r="J64" s="61"/>
      <c r="K64" s="61"/>
      <c r="L64" s="55"/>
      <c r="M64" s="55"/>
      <c r="N64" s="46"/>
      <c r="O64" s="46"/>
    </row>
    <row r="65" spans="2:15" outlineLevel="1" x14ac:dyDescent="0.3">
      <c r="B65" s="44" t="s">
        <v>35</v>
      </c>
      <c r="C65" s="124">
        <v>0.25</v>
      </c>
      <c r="D65" s="44"/>
      <c r="E65" s="76">
        <f>-E67/E66</f>
        <v>0.11267605633802817</v>
      </c>
      <c r="F65" s="76">
        <f>-F67/F66</f>
        <v>0.32051282051282054</v>
      </c>
      <c r="G65" s="76">
        <f>$C65</f>
        <v>0.25</v>
      </c>
      <c r="H65" s="76">
        <f t="shared" ref="H65:K65" si="17">$C65</f>
        <v>0.25</v>
      </c>
      <c r="I65" s="76">
        <f t="shared" si="17"/>
        <v>0.25</v>
      </c>
      <c r="J65" s="76">
        <f t="shared" si="17"/>
        <v>0.25</v>
      </c>
      <c r="K65" s="76">
        <f t="shared" si="17"/>
        <v>0.25</v>
      </c>
      <c r="L65" s="54"/>
      <c r="M65" s="54"/>
      <c r="N65" s="44"/>
      <c r="O65" s="44"/>
    </row>
    <row r="66" spans="2:15" s="2" customFormat="1" outlineLevel="1" x14ac:dyDescent="0.3">
      <c r="B66" s="44" t="s">
        <v>5</v>
      </c>
      <c r="C66" s="46"/>
      <c r="D66" s="46"/>
      <c r="E66" s="137">
        <f t="shared" ref="E66:K66" si="18">E49+E53+E55+E57+E61</f>
        <v>71</v>
      </c>
      <c r="F66" s="137">
        <f t="shared" si="18"/>
        <v>78</v>
      </c>
      <c r="G66" s="137">
        <f>G49+G53+G55+G57+G61</f>
        <v>49.801205700000047</v>
      </c>
      <c r="H66" s="137">
        <f t="shared" si="18"/>
        <v>55.851524999999903</v>
      </c>
      <c r="I66" s="137">
        <f t="shared" si="18"/>
        <v>36.683013000000003</v>
      </c>
      <c r="J66" s="137">
        <f t="shared" si="18"/>
        <v>88.81675990999986</v>
      </c>
      <c r="K66" s="137">
        <f t="shared" si="18"/>
        <v>41.077327719400046</v>
      </c>
      <c r="L66" s="55"/>
      <c r="M66" s="54"/>
      <c r="N66" s="46"/>
      <c r="O66" s="46"/>
    </row>
    <row r="67" spans="2:15" s="2" customFormat="1" outlineLevel="1" x14ac:dyDescent="0.3">
      <c r="B67" s="46" t="s">
        <v>6</v>
      </c>
      <c r="C67" s="46"/>
      <c r="D67" s="46"/>
      <c r="E67" s="159">
        <f>'1. Realisatie RR en BS'!E30</f>
        <v>-8</v>
      </c>
      <c r="F67" s="159">
        <f>'1. Realisatie RR en BS'!F30</f>
        <v>-25</v>
      </c>
      <c r="G67" s="138">
        <f>G66*-G65</f>
        <v>-12.450301425000012</v>
      </c>
      <c r="H67" s="138">
        <f t="shared" ref="H67:K67" si="19">H66*-H65</f>
        <v>-13.962881249999976</v>
      </c>
      <c r="I67" s="138">
        <f t="shared" si="19"/>
        <v>-9.1707532500000006</v>
      </c>
      <c r="J67" s="138">
        <f t="shared" si="19"/>
        <v>-22.204189977499965</v>
      </c>
      <c r="K67" s="138">
        <f t="shared" si="19"/>
        <v>-10.269331929850011</v>
      </c>
      <c r="L67" s="55"/>
      <c r="M67" s="54" t="s">
        <v>22</v>
      </c>
      <c r="N67" s="55"/>
      <c r="O67" s="55"/>
    </row>
    <row r="68" spans="2:15" x14ac:dyDescent="0.3">
      <c r="B68" s="44"/>
      <c r="C68" s="44"/>
      <c r="D68" s="44"/>
      <c r="E68" s="141"/>
      <c r="F68" s="141"/>
      <c r="G68" s="141"/>
      <c r="H68" s="141"/>
      <c r="I68" s="141"/>
      <c r="J68" s="141"/>
      <c r="K68" s="141"/>
      <c r="L68" s="54"/>
      <c r="M68" s="54"/>
      <c r="N68" s="44"/>
      <c r="O68" s="44"/>
    </row>
    <row r="69" spans="2:15" s="2" customFormat="1" x14ac:dyDescent="0.3">
      <c r="B69" s="131" t="s">
        <v>62</v>
      </c>
      <c r="C69" s="132"/>
      <c r="D69" s="131"/>
      <c r="E69" s="132" t="str">
        <f>E5</f>
        <v>R 2024</v>
      </c>
      <c r="F69" s="132" t="str">
        <f>F5</f>
        <v>R 2025</v>
      </c>
      <c r="G69" s="132" t="str">
        <f>G5</f>
        <v>P 2026</v>
      </c>
      <c r="H69" s="132" t="str">
        <f>H5</f>
        <v>P 2027</v>
      </c>
      <c r="I69" s="132" t="str">
        <f>I5</f>
        <v>P 2028</v>
      </c>
      <c r="J69" s="132" t="str">
        <f>J5</f>
        <v>P 2029</v>
      </c>
      <c r="K69" s="132" t="str">
        <f>K5</f>
        <v>P 2030</v>
      </c>
      <c r="L69" s="59"/>
      <c r="M69" s="59"/>
      <c r="N69" s="59"/>
      <c r="O69" s="59"/>
    </row>
    <row r="70" spans="2:15" s="2" customFormat="1" outlineLevel="1" x14ac:dyDescent="0.3">
      <c r="B70" s="46"/>
      <c r="C70" s="46"/>
      <c r="D70" s="46"/>
      <c r="E70" s="68"/>
      <c r="F70" s="68"/>
      <c r="G70" s="68"/>
      <c r="H70" s="68"/>
      <c r="I70" s="68"/>
      <c r="J70" s="68"/>
      <c r="K70" s="68"/>
      <c r="L70" s="55"/>
      <c r="M70" s="55"/>
      <c r="N70" s="46"/>
      <c r="O70" s="46"/>
    </row>
    <row r="71" spans="2:15" outlineLevel="1" x14ac:dyDescent="0.3">
      <c r="B71" s="44" t="str">
        <f>RR!B26</f>
        <v>Netto resultaat</v>
      </c>
      <c r="C71" s="44"/>
      <c r="D71" s="44"/>
      <c r="E71" s="164">
        <f t="shared" ref="E71:K71" si="20">E66+E67</f>
        <v>63</v>
      </c>
      <c r="F71" s="164">
        <f t="shared" si="20"/>
        <v>53</v>
      </c>
      <c r="G71" s="164">
        <f t="shared" si="20"/>
        <v>37.350904275000033</v>
      </c>
      <c r="H71" s="164">
        <f t="shared" si="20"/>
        <v>41.888643749999929</v>
      </c>
      <c r="I71" s="164">
        <f t="shared" si="20"/>
        <v>27.512259750000002</v>
      </c>
      <c r="J71" s="164">
        <f t="shared" si="20"/>
        <v>66.612569932499895</v>
      </c>
      <c r="K71" s="164">
        <f t="shared" si="20"/>
        <v>30.807995789550034</v>
      </c>
      <c r="L71" s="54"/>
      <c r="M71" s="54"/>
      <c r="N71" s="44"/>
      <c r="O71" s="44"/>
    </row>
    <row r="72" spans="2:15" outlineLevel="1" x14ac:dyDescent="0.3">
      <c r="B72" s="44" t="s">
        <v>190</v>
      </c>
      <c r="C72" s="44"/>
      <c r="D72" s="44"/>
      <c r="E72" s="165">
        <f>-'1. Realisatie RR en BS'!E33</f>
        <v>-10</v>
      </c>
      <c r="F72" s="165">
        <f>-'1. Realisatie RR en BS'!F33</f>
        <v>-11</v>
      </c>
      <c r="G72" s="166">
        <v>-10</v>
      </c>
      <c r="H72" s="166">
        <v>-10</v>
      </c>
      <c r="I72" s="166">
        <v>-15</v>
      </c>
      <c r="J72" s="166">
        <v>-20</v>
      </c>
      <c r="K72" s="166">
        <v>-20</v>
      </c>
      <c r="L72" s="54"/>
      <c r="M72" s="54" t="s">
        <v>63</v>
      </c>
      <c r="N72" s="44"/>
      <c r="O72" s="44"/>
    </row>
    <row r="73" spans="2:15" s="2" customFormat="1" outlineLevel="1" x14ac:dyDescent="0.3">
      <c r="B73" s="46"/>
      <c r="C73" s="46"/>
      <c r="D73" s="46"/>
      <c r="E73" s="167"/>
      <c r="F73" s="167"/>
      <c r="G73" s="168"/>
      <c r="H73" s="168"/>
      <c r="I73" s="168"/>
      <c r="J73" s="168"/>
      <c r="K73" s="168"/>
      <c r="L73" s="55"/>
      <c r="M73" s="54"/>
      <c r="N73" s="55"/>
      <c r="O73" s="55"/>
    </row>
    <row r="74" spans="2:15" outlineLevel="1" x14ac:dyDescent="0.3">
      <c r="B74" s="44" t="s">
        <v>191</v>
      </c>
      <c r="C74" s="44"/>
      <c r="D74" s="44"/>
      <c r="E74" s="164">
        <f>E71+E72</f>
        <v>53</v>
      </c>
      <c r="F74" s="164">
        <f t="shared" ref="F74:K74" si="21">F71+F72</f>
        <v>42</v>
      </c>
      <c r="G74" s="164">
        <f t="shared" si="21"/>
        <v>27.350904275000033</v>
      </c>
      <c r="H74" s="164">
        <f t="shared" si="21"/>
        <v>31.888643749999929</v>
      </c>
      <c r="I74" s="164">
        <f t="shared" si="21"/>
        <v>12.512259750000002</v>
      </c>
      <c r="J74" s="164">
        <f t="shared" si="21"/>
        <v>46.612569932499895</v>
      </c>
      <c r="K74" s="164">
        <f t="shared" si="21"/>
        <v>10.807995789550034</v>
      </c>
      <c r="L74" s="54"/>
      <c r="M74" s="54"/>
      <c r="N74" s="44"/>
      <c r="O74" s="44"/>
    </row>
    <row r="75" spans="2:15" outlineLevel="1" x14ac:dyDescent="0.3">
      <c r="B75" s="44" t="s">
        <v>72</v>
      </c>
      <c r="C75" s="44"/>
      <c r="D75" s="44"/>
      <c r="E75" s="77">
        <f>-E72/E71</f>
        <v>0.15873015873015872</v>
      </c>
      <c r="F75" s="77">
        <f t="shared" ref="F75:K75" si="22">-F72/F71</f>
        <v>0.20754716981132076</v>
      </c>
      <c r="G75" s="77">
        <f t="shared" si="22"/>
        <v>0.26773113513862823</v>
      </c>
      <c r="H75" s="77">
        <f t="shared" si="22"/>
        <v>0.23872818751741079</v>
      </c>
      <c r="I75" s="77">
        <f t="shared" si="22"/>
        <v>0.54521148521796725</v>
      </c>
      <c r="J75" s="77">
        <f t="shared" si="22"/>
        <v>0.30024363299999501</v>
      </c>
      <c r="K75" s="77">
        <f t="shared" si="22"/>
        <v>0.64918211936343917</v>
      </c>
      <c r="L75" s="54"/>
      <c r="M75" s="54"/>
      <c r="N75" s="44"/>
      <c r="O75" s="44"/>
    </row>
    <row r="76" spans="2:15" x14ac:dyDescent="0.3">
      <c r="B76" s="44"/>
      <c r="C76" s="44"/>
      <c r="D76" s="44"/>
      <c r="E76" s="69"/>
      <c r="F76" s="69"/>
      <c r="G76" s="69"/>
      <c r="H76" s="69"/>
      <c r="I76" s="69"/>
      <c r="J76" s="69"/>
      <c r="K76" s="69"/>
      <c r="L76" s="54"/>
      <c r="M76" s="54"/>
      <c r="N76" s="54"/>
      <c r="O76" s="54"/>
    </row>
    <row r="77" spans="2:15" s="2" customFormat="1" x14ac:dyDescent="0.3">
      <c r="B77" s="131" t="s">
        <v>279</v>
      </c>
      <c r="C77" s="132"/>
      <c r="D77" s="131"/>
      <c r="E77" s="132" t="str">
        <f>E5</f>
        <v>R 2024</v>
      </c>
      <c r="F77" s="132" t="str">
        <f>F5</f>
        <v>R 2025</v>
      </c>
      <c r="G77" s="132" t="str">
        <f>G5</f>
        <v>P 2026</v>
      </c>
      <c r="H77" s="132" t="str">
        <f>H5</f>
        <v>P 2027</v>
      </c>
      <c r="I77" s="132" t="str">
        <f>I5</f>
        <v>P 2028</v>
      </c>
      <c r="J77" s="132" t="str">
        <f>J5</f>
        <v>P 2029</v>
      </c>
      <c r="K77" s="132" t="str">
        <f>K5</f>
        <v>P 2030</v>
      </c>
      <c r="L77" s="59"/>
      <c r="M77" s="59"/>
      <c r="N77" s="59"/>
      <c r="O77" s="59"/>
    </row>
    <row r="78" spans="2:15" s="2" customFormat="1" outlineLevel="1" x14ac:dyDescent="0.3">
      <c r="B78" s="46"/>
      <c r="C78" s="46"/>
      <c r="D78" s="46"/>
      <c r="E78" s="68"/>
      <c r="F78" s="68"/>
      <c r="G78" s="68"/>
      <c r="H78" s="68"/>
      <c r="I78" s="68"/>
      <c r="J78" s="68"/>
      <c r="K78" s="68"/>
      <c r="L78" s="55"/>
      <c r="M78" s="55"/>
      <c r="N78" s="46"/>
      <c r="O78" s="46"/>
    </row>
    <row r="79" spans="2:15" outlineLevel="1" x14ac:dyDescent="0.3">
      <c r="B79" s="44" t="str">
        <f>RR!B26&amp;" optelling"</f>
        <v>Netto resultaat optelling</v>
      </c>
      <c r="C79" s="44"/>
      <c r="D79" s="44"/>
      <c r="E79" s="141">
        <f t="shared" ref="E79:K79" si="23">E71</f>
        <v>63</v>
      </c>
      <c r="F79" s="141">
        <f t="shared" si="23"/>
        <v>53</v>
      </c>
      <c r="G79" s="141">
        <f t="shared" si="23"/>
        <v>37.350904275000033</v>
      </c>
      <c r="H79" s="141">
        <f t="shared" si="23"/>
        <v>41.888643749999929</v>
      </c>
      <c r="I79" s="141">
        <f t="shared" si="23"/>
        <v>27.512259750000002</v>
      </c>
      <c r="J79" s="141">
        <f t="shared" si="23"/>
        <v>66.612569932499895</v>
      </c>
      <c r="K79" s="141">
        <f t="shared" si="23"/>
        <v>30.807995789550034</v>
      </c>
      <c r="L79" s="54"/>
      <c r="M79" s="54" t="s">
        <v>67</v>
      </c>
      <c r="N79" s="54"/>
      <c r="O79" s="54"/>
    </row>
    <row r="80" spans="2:15" outlineLevel="1" x14ac:dyDescent="0.3">
      <c r="B80" s="44" t="str">
        <f>RR!B26&amp;" vanuit RR"</f>
        <v>Netto resultaat vanuit RR</v>
      </c>
      <c r="C80" s="58"/>
      <c r="D80" s="58"/>
      <c r="E80" s="160">
        <f>RR!E26</f>
        <v>63</v>
      </c>
      <c r="F80" s="160">
        <f>RR!F26</f>
        <v>53</v>
      </c>
      <c r="G80" s="160">
        <f>RR!G26</f>
        <v>37.350904275000033</v>
      </c>
      <c r="H80" s="160">
        <f>RR!H26</f>
        <v>41.888643750000043</v>
      </c>
      <c r="I80" s="160">
        <f>RR!I26</f>
        <v>27.512259750000002</v>
      </c>
      <c r="J80" s="160">
        <f>RR!J26</f>
        <v>66.612569932499895</v>
      </c>
      <c r="K80" s="160">
        <f>RR!K26</f>
        <v>30.807995789549921</v>
      </c>
      <c r="L80" s="85"/>
      <c r="M80" s="54" t="s">
        <v>179</v>
      </c>
      <c r="N80" s="54"/>
      <c r="O80" s="54"/>
    </row>
    <row r="81" spans="2:15" s="208" customFormat="1" outlineLevel="1" x14ac:dyDescent="0.3">
      <c r="B81" s="104" t="s">
        <v>18</v>
      </c>
      <c r="C81" s="104"/>
      <c r="D81" s="104"/>
      <c r="E81" s="209">
        <f>ROUND(E79,2)-ROUND(E80,2)</f>
        <v>0</v>
      </c>
      <c r="F81" s="209">
        <f t="shared" ref="F81:K81" si="24">ROUND(F79,2)-ROUND(F80,2)</f>
        <v>0</v>
      </c>
      <c r="G81" s="209">
        <f t="shared" si="24"/>
        <v>0</v>
      </c>
      <c r="H81" s="209">
        <f t="shared" si="24"/>
        <v>0</v>
      </c>
      <c r="I81" s="209">
        <f t="shared" si="24"/>
        <v>0</v>
      </c>
      <c r="J81" s="209">
        <f t="shared" si="24"/>
        <v>0</v>
      </c>
      <c r="K81" s="209">
        <f t="shared" si="24"/>
        <v>0</v>
      </c>
      <c r="L81" s="110"/>
      <c r="M81" s="110" t="s">
        <v>68</v>
      </c>
      <c r="N81" s="110"/>
      <c r="O81" s="110"/>
    </row>
    <row r="82" spans="2:15" x14ac:dyDescent="0.3">
      <c r="B82" s="44"/>
      <c r="C82" s="44"/>
      <c r="D82" s="44"/>
      <c r="E82" s="44"/>
      <c r="F82" s="44"/>
      <c r="G82" s="44"/>
      <c r="H82" s="44"/>
      <c r="I82" s="44"/>
      <c r="J82" s="44"/>
      <c r="K82" s="44"/>
      <c r="L82" s="54"/>
      <c r="M82" s="54"/>
      <c r="N82" s="54"/>
      <c r="O82" s="54"/>
    </row>
    <row r="83" spans="2:15" x14ac:dyDescent="0.3">
      <c r="B83" s="44" t="s">
        <v>390</v>
      </c>
      <c r="C83" s="44"/>
      <c r="D83" s="44"/>
      <c r="E83" s="141">
        <f>E79</f>
        <v>63</v>
      </c>
      <c r="F83" s="141">
        <f>F79</f>
        <v>53</v>
      </c>
      <c r="G83" s="210"/>
      <c r="H83" s="210"/>
      <c r="I83" s="210"/>
      <c r="J83" s="210"/>
      <c r="K83" s="210"/>
      <c r="L83" s="54"/>
      <c r="M83" s="54" t="s">
        <v>67</v>
      </c>
      <c r="N83" s="54"/>
      <c r="O83" s="54"/>
    </row>
    <row r="84" spans="2:15" x14ac:dyDescent="0.3">
      <c r="B84" s="44" t="s">
        <v>391</v>
      </c>
      <c r="C84" s="58"/>
      <c r="D84" s="58"/>
      <c r="E84" s="160">
        <f>'1. Realisatie RR en BS'!E31</f>
        <v>63</v>
      </c>
      <c r="F84" s="160">
        <f>'1. Realisatie RR en BS'!F31</f>
        <v>53</v>
      </c>
      <c r="G84" s="175"/>
      <c r="H84" s="175"/>
      <c r="I84" s="175"/>
      <c r="J84" s="175"/>
      <c r="K84" s="175"/>
      <c r="L84" s="54"/>
      <c r="M84" s="54" t="s">
        <v>392</v>
      </c>
      <c r="N84" s="54"/>
      <c r="O84" s="54"/>
    </row>
    <row r="85" spans="2:15" x14ac:dyDescent="0.3">
      <c r="B85" s="52" t="s">
        <v>18</v>
      </c>
      <c r="C85" s="52"/>
      <c r="D85" s="52"/>
      <c r="E85" s="213">
        <f>E83-E84</f>
        <v>0</v>
      </c>
      <c r="F85" s="213">
        <f t="shared" ref="F85" si="25">F83-F84</f>
        <v>0</v>
      </c>
      <c r="G85" s="212"/>
      <c r="H85" s="212"/>
      <c r="I85" s="212"/>
      <c r="J85" s="212"/>
      <c r="K85" s="212"/>
      <c r="L85" s="54"/>
      <c r="M85" s="105" t="s">
        <v>68</v>
      </c>
      <c r="N85" s="54"/>
      <c r="O85" s="54"/>
    </row>
    <row r="86" spans="2:15" x14ac:dyDescent="0.3">
      <c r="B86" s="44"/>
      <c r="C86" s="44"/>
      <c r="D86" s="44"/>
      <c r="E86" s="44"/>
      <c r="F86" s="44"/>
      <c r="G86" s="44"/>
      <c r="H86" s="44"/>
      <c r="I86" s="44"/>
      <c r="J86" s="44"/>
      <c r="K86" s="44"/>
      <c r="L86" s="54"/>
      <c r="M86" s="54"/>
      <c r="N86" s="54"/>
      <c r="O86" s="54"/>
    </row>
    <row r="87" spans="2:15" x14ac:dyDescent="0.3">
      <c r="B87" s="44" t="s">
        <v>393</v>
      </c>
      <c r="C87" s="44"/>
      <c r="D87" s="44"/>
      <c r="E87" s="141">
        <f>'3. Prognose BS'!E25</f>
        <v>-10</v>
      </c>
      <c r="F87" s="141">
        <f>'3. Prognose BS'!F25</f>
        <v>-11</v>
      </c>
      <c r="G87" s="141">
        <f>'3. Prognose BS'!G25</f>
        <v>-19.903794300000001</v>
      </c>
      <c r="H87" s="141">
        <f>'3. Prognose BS'!H25</f>
        <v>-23</v>
      </c>
      <c r="I87" s="141">
        <f>'3. Prognose BS'!I25</f>
        <v>-37</v>
      </c>
      <c r="J87" s="141">
        <f>'3. Prognose BS'!J25</f>
        <v>-40</v>
      </c>
      <c r="K87" s="141">
        <f>'3. Prognose BS'!K25</f>
        <v>-40</v>
      </c>
      <c r="L87" s="54"/>
      <c r="M87" s="54"/>
      <c r="N87" s="54"/>
      <c r="O87" s="54"/>
    </row>
    <row r="88" spans="2:15" x14ac:dyDescent="0.3">
      <c r="B88" s="44" t="s">
        <v>394</v>
      </c>
      <c r="C88" s="44"/>
      <c r="D88" s="44"/>
      <c r="E88" s="141">
        <f>E34</f>
        <v>-10</v>
      </c>
      <c r="F88" s="141">
        <f t="shared" ref="F88:K88" si="26">F34</f>
        <v>-11</v>
      </c>
      <c r="G88" s="141">
        <f t="shared" si="26"/>
        <v>-19.903794300000001</v>
      </c>
      <c r="H88" s="141">
        <f t="shared" si="26"/>
        <v>-23</v>
      </c>
      <c r="I88" s="141">
        <f t="shared" si="26"/>
        <v>-37</v>
      </c>
      <c r="J88" s="141">
        <f t="shared" si="26"/>
        <v>-40</v>
      </c>
      <c r="K88" s="141">
        <f t="shared" si="26"/>
        <v>-40</v>
      </c>
      <c r="L88" s="54"/>
      <c r="M88" s="54"/>
      <c r="N88" s="54"/>
      <c r="O88" s="54"/>
    </row>
    <row r="89" spans="2:15" x14ac:dyDescent="0.3">
      <c r="B89" s="52" t="s">
        <v>18</v>
      </c>
      <c r="C89" s="52"/>
      <c r="D89" s="52"/>
      <c r="E89" s="211">
        <f>E87-E88</f>
        <v>0</v>
      </c>
      <c r="F89" s="211">
        <f t="shared" ref="F89:K89" si="27">F87-F88</f>
        <v>0</v>
      </c>
      <c r="G89" s="211">
        <f t="shared" si="27"/>
        <v>0</v>
      </c>
      <c r="H89" s="211">
        <f t="shared" si="27"/>
        <v>0</v>
      </c>
      <c r="I89" s="211">
        <f t="shared" si="27"/>
        <v>0</v>
      </c>
      <c r="J89" s="211">
        <f t="shared" si="27"/>
        <v>0</v>
      </c>
      <c r="K89" s="211">
        <f t="shared" si="27"/>
        <v>0</v>
      </c>
      <c r="L89" s="105"/>
      <c r="M89" s="105" t="s">
        <v>68</v>
      </c>
      <c r="N89" s="54"/>
      <c r="O89" s="54"/>
    </row>
    <row r="90" spans="2:15" x14ac:dyDescent="0.3">
      <c r="B90" s="44"/>
      <c r="C90" s="44"/>
      <c r="D90" s="44"/>
      <c r="E90" s="44"/>
      <c r="F90" s="44"/>
      <c r="G90" s="44"/>
      <c r="H90" s="44"/>
      <c r="I90" s="44"/>
      <c r="J90" s="44"/>
      <c r="K90" s="44"/>
      <c r="L90" s="54"/>
      <c r="M90" s="54"/>
      <c r="N90" s="54"/>
      <c r="O90" s="54"/>
    </row>
  </sheetData>
  <conditionalFormatting sqref="E4:K4">
    <cfRule type="expression" dxfId="15" priority="6">
      <formula>E4="CHECK"</formula>
    </cfRule>
  </conditionalFormatting>
  <conditionalFormatting sqref="E81:K81">
    <cfRule type="expression" dxfId="14" priority="7">
      <formula>E81&lt;&gt;0</formula>
    </cfRule>
  </conditionalFormatting>
  <conditionalFormatting sqref="E85:K85">
    <cfRule type="expression" dxfId="13" priority="4">
      <formula>E85&lt;&gt;0</formula>
    </cfRule>
  </conditionalFormatting>
  <conditionalFormatting sqref="E89:K89">
    <cfRule type="expression" dxfId="12" priority="3">
      <formula>E89&lt;&gt;0</formula>
    </cfRule>
  </conditionalFormatting>
  <conditionalFormatting sqref="H2">
    <cfRule type="cellIs" dxfId="11" priority="1" operator="notEqual">
      <formula>0</formula>
    </cfRule>
    <cfRule type="cellIs" dxfId="10" priority="2" operator="equal">
      <formula>0</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150"/>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21875" customWidth="1"/>
    <col min="2" max="2" width="41.6640625" customWidth="1"/>
    <col min="3" max="3" width="6.109375" customWidth="1"/>
    <col min="4" max="4" width="2.5546875" customWidth="1"/>
    <col min="5" max="9" width="10.33203125" customWidth="1"/>
    <col min="10" max="13" width="9.109375" style="4"/>
  </cols>
  <sheetData>
    <row r="1" spans="2:18" x14ac:dyDescent="0.3">
      <c r="K1" s="13" t="s">
        <v>33</v>
      </c>
    </row>
    <row r="2" spans="2:18" ht="15.6" x14ac:dyDescent="0.3">
      <c r="B2" s="12" t="s">
        <v>278</v>
      </c>
      <c r="F2" s="26" t="s">
        <v>375</v>
      </c>
      <c r="G2" s="26"/>
      <c r="H2" s="200">
        <f>ErrorChecks!B5</f>
        <v>0</v>
      </c>
    </row>
    <row r="4" spans="2:18" s="9" customFormat="1" ht="12" x14ac:dyDescent="0.25">
      <c r="B4" s="11" t="s">
        <v>7</v>
      </c>
      <c r="E4" s="89" t="str">
        <f>IF(E144=0,"OK","CHECK")</f>
        <v>OK</v>
      </c>
      <c r="F4" s="89" t="str">
        <f>IF(F144=0,"OK","CHECK")</f>
        <v>OK</v>
      </c>
      <c r="G4" s="89" t="str">
        <f>IF(G144=0,"OK","CHECK")</f>
        <v>OK</v>
      </c>
      <c r="H4" s="89" t="str">
        <f>IF(H144=0,"OK","CHECK")</f>
        <v>OK</v>
      </c>
      <c r="I4" s="89" t="str">
        <f>IF(I144=0,"OK","CHECK")</f>
        <v>OK</v>
      </c>
      <c r="J4" s="89" t="str">
        <f>IF(J144=0,"OK","CHECK")</f>
        <v>OK</v>
      </c>
      <c r="K4" s="89" t="str">
        <f>IF(K144=0,"OK","CHECK")</f>
        <v>OK</v>
      </c>
      <c r="L4" s="90"/>
      <c r="M4" s="90"/>
    </row>
    <row r="5" spans="2:18" s="2" customFormat="1" x14ac:dyDescent="0.3">
      <c r="B5" s="131" t="s">
        <v>74</v>
      </c>
      <c r="C5" s="132"/>
      <c r="D5" s="131"/>
      <c r="E5" s="132" t="str">
        <f>RR!E5</f>
        <v>R 2024</v>
      </c>
      <c r="F5" s="132" t="str">
        <f>RR!F5</f>
        <v>R 2025</v>
      </c>
      <c r="G5" s="132" t="str">
        <f>RR!G5</f>
        <v>P 2026</v>
      </c>
      <c r="H5" s="132" t="str">
        <f>RR!H5</f>
        <v>P 2027</v>
      </c>
      <c r="I5" s="132" t="str">
        <f>RR!I5</f>
        <v>P 2028</v>
      </c>
      <c r="J5" s="132" t="str">
        <f>RR!J5</f>
        <v>P 2029</v>
      </c>
      <c r="K5" s="132" t="str">
        <f>RR!K5</f>
        <v>P 2030</v>
      </c>
      <c r="L5" s="59"/>
      <c r="M5" s="59"/>
      <c r="N5" s="59"/>
      <c r="O5" s="59"/>
      <c r="P5" s="46"/>
      <c r="Q5" s="46"/>
      <c r="R5" s="46"/>
    </row>
    <row r="6" spans="2:18" outlineLevel="1" x14ac:dyDescent="0.3">
      <c r="B6" s="44"/>
      <c r="C6" s="44"/>
      <c r="D6" s="44"/>
      <c r="E6" s="102"/>
      <c r="F6" s="44"/>
      <c r="G6" s="44"/>
      <c r="H6" s="44"/>
      <c r="I6" s="44"/>
      <c r="J6" s="44"/>
      <c r="K6" s="44"/>
      <c r="L6" s="54"/>
      <c r="M6" s="54"/>
      <c r="N6" s="54"/>
      <c r="O6" s="54"/>
      <c r="P6" s="44"/>
      <c r="Q6" s="44"/>
      <c r="R6" s="44"/>
    </row>
    <row r="7" spans="2:18" s="2" customFormat="1" outlineLevel="1" x14ac:dyDescent="0.3">
      <c r="B7" s="114" t="s">
        <v>280</v>
      </c>
      <c r="C7" s="46"/>
      <c r="D7" s="46"/>
      <c r="E7" s="103"/>
      <c r="F7" s="46"/>
      <c r="G7" s="46"/>
      <c r="H7" s="46"/>
      <c r="I7" s="46"/>
      <c r="J7" s="46"/>
      <c r="K7" s="46"/>
      <c r="L7" s="55"/>
      <c r="M7" s="55"/>
      <c r="N7" s="55"/>
      <c r="O7" s="55"/>
      <c r="P7" s="46"/>
      <c r="Q7" s="46"/>
      <c r="R7" s="46"/>
    </row>
    <row r="8" spans="2:18" outlineLevel="1" x14ac:dyDescent="0.3">
      <c r="B8" s="112" t="s">
        <v>285</v>
      </c>
      <c r="C8" s="44"/>
      <c r="D8" s="44"/>
      <c r="E8" s="137">
        <f>E12-E11-E10-E9</f>
        <v>139</v>
      </c>
      <c r="F8" s="137">
        <f>E12</f>
        <v>120</v>
      </c>
      <c r="G8" s="137">
        <f t="shared" ref="G8" si="0">F12</f>
        <v>140</v>
      </c>
      <c r="H8" s="137">
        <f t="shared" ref="H8" si="1">G12</f>
        <v>124.0962057</v>
      </c>
      <c r="I8" s="137">
        <f t="shared" ref="I8" si="2">H12</f>
        <v>99.096205699999999</v>
      </c>
      <c r="J8" s="137">
        <f t="shared" ref="J8" si="3">I12</f>
        <v>34.096205699999999</v>
      </c>
      <c r="K8" s="137">
        <f t="shared" ref="K8" si="4">J12</f>
        <v>19.096205699999999</v>
      </c>
      <c r="L8" s="54"/>
      <c r="M8" s="54"/>
      <c r="N8" s="54"/>
      <c r="O8" s="54"/>
      <c r="P8" s="44"/>
      <c r="Q8" s="44"/>
      <c r="R8" s="44"/>
    </row>
    <row r="9" spans="2:18" outlineLevel="1" x14ac:dyDescent="0.3">
      <c r="B9" s="112" t="s">
        <v>192</v>
      </c>
      <c r="C9" s="44"/>
      <c r="D9" s="44"/>
      <c r="E9" s="133">
        <v>11</v>
      </c>
      <c r="F9" s="133">
        <v>36</v>
      </c>
      <c r="G9" s="174"/>
      <c r="H9" s="174"/>
      <c r="I9" s="174"/>
      <c r="J9" s="174"/>
      <c r="K9" s="174"/>
      <c r="L9" s="54"/>
      <c r="M9" s="54" t="s">
        <v>365</v>
      </c>
      <c r="N9" s="54"/>
      <c r="O9" s="54"/>
      <c r="P9" s="44"/>
      <c r="Q9" s="44"/>
      <c r="R9" s="44"/>
    </row>
    <row r="10" spans="2:18" outlineLevel="1" x14ac:dyDescent="0.3">
      <c r="B10" s="112" t="s">
        <v>193</v>
      </c>
      <c r="C10" s="44"/>
      <c r="D10" s="44"/>
      <c r="E10" s="133">
        <v>-20</v>
      </c>
      <c r="F10" s="133">
        <v>-5</v>
      </c>
      <c r="G10" s="133">
        <v>0</v>
      </c>
      <c r="H10" s="133">
        <v>-10</v>
      </c>
      <c r="I10" s="133">
        <v>-50</v>
      </c>
      <c r="J10" s="133">
        <v>0</v>
      </c>
      <c r="K10" s="133">
        <v>0</v>
      </c>
      <c r="L10" s="54"/>
      <c r="M10" s="54" t="s">
        <v>46</v>
      </c>
      <c r="N10" s="54"/>
      <c r="O10" s="54"/>
      <c r="P10" s="44"/>
      <c r="Q10" s="44"/>
      <c r="R10" s="44"/>
    </row>
    <row r="11" spans="2:18" outlineLevel="1" x14ac:dyDescent="0.3">
      <c r="B11" s="112" t="s">
        <v>47</v>
      </c>
      <c r="C11" s="44"/>
      <c r="D11" s="44"/>
      <c r="E11" s="160">
        <f>'1. Realisatie RR en BS'!E16</f>
        <v>-10</v>
      </c>
      <c r="F11" s="160">
        <f>'1. Realisatie RR en BS'!F16</f>
        <v>-11</v>
      </c>
      <c r="G11" s="133">
        <v>-15.903794299999999</v>
      </c>
      <c r="H11" s="133">
        <v>-15</v>
      </c>
      <c r="I11" s="133">
        <v>-15</v>
      </c>
      <c r="J11" s="133">
        <v>-15</v>
      </c>
      <c r="K11" s="133">
        <v>-15</v>
      </c>
      <c r="L11" s="54"/>
      <c r="M11" s="54" t="s">
        <v>46</v>
      </c>
      <c r="N11" s="54"/>
      <c r="O11" s="54"/>
      <c r="P11" s="44"/>
      <c r="Q11" s="44"/>
      <c r="R11" s="44"/>
    </row>
    <row r="12" spans="2:18" s="2" customFormat="1" outlineLevel="1" x14ac:dyDescent="0.3">
      <c r="B12" s="113" t="s">
        <v>194</v>
      </c>
      <c r="C12" s="46"/>
      <c r="D12" s="46"/>
      <c r="E12" s="158">
        <f>'1. Realisatie RR en BS'!E38</f>
        <v>120</v>
      </c>
      <c r="F12" s="136">
        <f>SUM(F8:F11)</f>
        <v>140</v>
      </c>
      <c r="G12" s="136">
        <f t="shared" ref="G12:K12" si="5">SUM(G8:G11)</f>
        <v>124.0962057</v>
      </c>
      <c r="H12" s="136">
        <f t="shared" si="5"/>
        <v>99.096205699999999</v>
      </c>
      <c r="I12" s="136">
        <f t="shared" si="5"/>
        <v>34.096205699999999</v>
      </c>
      <c r="J12" s="136">
        <f t="shared" si="5"/>
        <v>19.096205699999999</v>
      </c>
      <c r="K12" s="136">
        <f t="shared" si="5"/>
        <v>4.0962056999999987</v>
      </c>
      <c r="L12" s="55"/>
      <c r="M12" s="54"/>
      <c r="N12" s="55"/>
      <c r="O12" s="55"/>
      <c r="P12" s="46"/>
      <c r="Q12" s="46"/>
      <c r="R12" s="46"/>
    </row>
    <row r="13" spans="2:18" outlineLevel="1" x14ac:dyDescent="0.3">
      <c r="B13" s="44"/>
      <c r="C13" s="44"/>
      <c r="D13" s="44"/>
      <c r="E13" s="137"/>
      <c r="F13" s="137"/>
      <c r="G13" s="137"/>
      <c r="H13" s="137"/>
      <c r="I13" s="137"/>
      <c r="J13" s="137"/>
      <c r="K13" s="137"/>
      <c r="L13" s="54"/>
      <c r="M13" s="54"/>
      <c r="N13" s="54"/>
      <c r="O13" s="54"/>
      <c r="P13" s="44"/>
      <c r="Q13" s="44"/>
      <c r="R13" s="44"/>
    </row>
    <row r="14" spans="2:18" outlineLevel="1" x14ac:dyDescent="0.3">
      <c r="B14" s="114" t="s">
        <v>281</v>
      </c>
      <c r="C14" s="44"/>
      <c r="D14" s="44"/>
      <c r="E14" s="137"/>
      <c r="F14" s="141"/>
      <c r="G14" s="141"/>
      <c r="H14" s="141"/>
      <c r="I14" s="141"/>
      <c r="J14" s="141"/>
      <c r="K14" s="141"/>
      <c r="L14" s="54"/>
      <c r="M14" s="54"/>
      <c r="N14" s="54"/>
      <c r="O14" s="54"/>
      <c r="P14" s="44"/>
      <c r="Q14" s="44"/>
      <c r="R14" s="44"/>
    </row>
    <row r="15" spans="2:18" outlineLevel="1" x14ac:dyDescent="0.3">
      <c r="B15" s="112" t="s">
        <v>286</v>
      </c>
      <c r="C15" s="44"/>
      <c r="D15" s="44"/>
      <c r="E15" s="174"/>
      <c r="F15" s="174"/>
      <c r="G15" s="137">
        <f t="shared" ref="G15" si="6">F19</f>
        <v>0</v>
      </c>
      <c r="H15" s="137">
        <f t="shared" ref="H15" si="7">G19</f>
        <v>36</v>
      </c>
      <c r="I15" s="137">
        <f t="shared" ref="I15" si="8">H19</f>
        <v>68</v>
      </c>
      <c r="J15" s="137">
        <f t="shared" ref="J15" si="9">I19</f>
        <v>246</v>
      </c>
      <c r="K15" s="137">
        <f t="shared" ref="K15" si="10">J19</f>
        <v>261</v>
      </c>
      <c r="L15" s="54"/>
      <c r="M15" s="54"/>
      <c r="N15" s="54"/>
      <c r="O15" s="54"/>
      <c r="P15" s="44"/>
      <c r="Q15" s="44"/>
      <c r="R15" s="44"/>
    </row>
    <row r="16" spans="2:18" outlineLevel="1" x14ac:dyDescent="0.3">
      <c r="B16" s="112" t="s">
        <v>192</v>
      </c>
      <c r="C16" s="44"/>
      <c r="D16" s="44"/>
      <c r="E16" s="174"/>
      <c r="F16" s="174"/>
      <c r="G16" s="133">
        <v>40</v>
      </c>
      <c r="H16" s="133">
        <v>40</v>
      </c>
      <c r="I16" s="133">
        <v>200</v>
      </c>
      <c r="J16" s="133">
        <v>40</v>
      </c>
      <c r="K16" s="133">
        <v>40</v>
      </c>
      <c r="L16" s="54"/>
      <c r="M16" s="54"/>
      <c r="N16" s="54"/>
      <c r="O16" s="54"/>
      <c r="P16" s="44"/>
      <c r="Q16" s="44"/>
      <c r="R16" s="44"/>
    </row>
    <row r="17" spans="2:18" outlineLevel="1" x14ac:dyDescent="0.3">
      <c r="B17" s="112" t="s">
        <v>193</v>
      </c>
      <c r="C17" s="44"/>
      <c r="D17" s="44"/>
      <c r="E17" s="174"/>
      <c r="F17" s="174"/>
      <c r="G17" s="133"/>
      <c r="H17" s="133"/>
      <c r="I17" s="133"/>
      <c r="J17" s="133"/>
      <c r="K17" s="133"/>
      <c r="L17" s="54"/>
      <c r="M17" s="54" t="s">
        <v>46</v>
      </c>
      <c r="N17" s="54"/>
      <c r="O17" s="54"/>
      <c r="P17" s="44"/>
      <c r="Q17" s="44"/>
      <c r="R17" s="44"/>
    </row>
    <row r="18" spans="2:18" outlineLevel="1" x14ac:dyDescent="0.3">
      <c r="B18" s="112" t="s">
        <v>47</v>
      </c>
      <c r="C18" s="44"/>
      <c r="D18" s="44"/>
      <c r="E18" s="175"/>
      <c r="F18" s="175"/>
      <c r="G18" s="133">
        <v>-4</v>
      </c>
      <c r="H18" s="133">
        <v>-8</v>
      </c>
      <c r="I18" s="133">
        <v>-22</v>
      </c>
      <c r="J18" s="133">
        <v>-25</v>
      </c>
      <c r="K18" s="133">
        <v>-25</v>
      </c>
      <c r="L18" s="54"/>
      <c r="M18" s="54" t="s">
        <v>46</v>
      </c>
      <c r="N18" s="54"/>
      <c r="O18" s="54"/>
      <c r="P18" s="44"/>
      <c r="Q18" s="44"/>
      <c r="R18" s="44"/>
    </row>
    <row r="19" spans="2:18" s="2" customFormat="1" outlineLevel="1" x14ac:dyDescent="0.3">
      <c r="B19" s="113" t="s">
        <v>283</v>
      </c>
      <c r="C19" s="46"/>
      <c r="D19" s="46"/>
      <c r="E19" s="176"/>
      <c r="F19" s="177"/>
      <c r="G19" s="136">
        <f t="shared" ref="G19:K19" si="11">SUM(G15:G18)</f>
        <v>36</v>
      </c>
      <c r="H19" s="136">
        <f t="shared" si="11"/>
        <v>68</v>
      </c>
      <c r="I19" s="136">
        <f t="shared" si="11"/>
        <v>246</v>
      </c>
      <c r="J19" s="136">
        <f t="shared" si="11"/>
        <v>261</v>
      </c>
      <c r="K19" s="136">
        <f t="shared" si="11"/>
        <v>276</v>
      </c>
      <c r="L19" s="55"/>
      <c r="M19" s="54"/>
      <c r="N19" s="55"/>
      <c r="O19" s="55"/>
      <c r="P19" s="46"/>
      <c r="Q19" s="46"/>
      <c r="R19" s="46"/>
    </row>
    <row r="20" spans="2:18" outlineLevel="1" x14ac:dyDescent="0.3">
      <c r="B20" s="44"/>
      <c r="C20" s="44"/>
      <c r="D20" s="44"/>
      <c r="E20" s="137"/>
      <c r="F20" s="137"/>
      <c r="G20" s="137"/>
      <c r="H20" s="137"/>
      <c r="I20" s="137"/>
      <c r="J20" s="137"/>
      <c r="K20" s="137"/>
      <c r="L20" s="54"/>
      <c r="M20" s="54"/>
      <c r="N20" s="54"/>
      <c r="O20" s="54"/>
      <c r="P20" s="44"/>
      <c r="Q20" s="44"/>
      <c r="R20" s="44"/>
    </row>
    <row r="21" spans="2:18" outlineLevel="1" x14ac:dyDescent="0.3">
      <c r="B21" s="114" t="s">
        <v>282</v>
      </c>
      <c r="C21" s="44"/>
      <c r="D21" s="44"/>
      <c r="E21" s="137"/>
      <c r="F21" s="137"/>
      <c r="G21" s="137"/>
      <c r="H21" s="137"/>
      <c r="I21" s="137"/>
      <c r="J21" s="137"/>
      <c r="K21" s="137"/>
      <c r="L21" s="54"/>
      <c r="M21" s="54"/>
      <c r="N21" s="54"/>
      <c r="O21" s="54"/>
      <c r="P21" s="44"/>
      <c r="Q21" s="44"/>
      <c r="R21" s="44"/>
    </row>
    <row r="22" spans="2:18" outlineLevel="1" x14ac:dyDescent="0.3">
      <c r="B22" s="112" t="s">
        <v>58</v>
      </c>
      <c r="C22" s="44"/>
      <c r="D22" s="44"/>
      <c r="E22" s="137">
        <f>E8+E15</f>
        <v>139</v>
      </c>
      <c r="F22" s="137">
        <f>E26</f>
        <v>120</v>
      </c>
      <c r="G22" s="137">
        <f t="shared" ref="G22:K22" si="12">F26</f>
        <v>140</v>
      </c>
      <c r="H22" s="137">
        <f t="shared" si="12"/>
        <v>160.09620569999998</v>
      </c>
      <c r="I22" s="137">
        <f t="shared" si="12"/>
        <v>167.09620569999998</v>
      </c>
      <c r="J22" s="137">
        <f t="shared" si="12"/>
        <v>280.09620569999998</v>
      </c>
      <c r="K22" s="137">
        <f t="shared" si="12"/>
        <v>280.09620569999998</v>
      </c>
      <c r="L22" s="54"/>
      <c r="M22" s="54"/>
      <c r="N22" s="54"/>
      <c r="O22" s="54"/>
      <c r="P22" s="44"/>
      <c r="Q22" s="44"/>
      <c r="R22" s="44"/>
    </row>
    <row r="23" spans="2:18" outlineLevel="1" x14ac:dyDescent="0.3">
      <c r="B23" s="112" t="s">
        <v>192</v>
      </c>
      <c r="C23" s="44"/>
      <c r="D23" s="44"/>
      <c r="E23" s="137">
        <f>E9+E16</f>
        <v>11</v>
      </c>
      <c r="F23" s="137">
        <f t="shared" ref="F23:K23" si="13">F9+F16</f>
        <v>36</v>
      </c>
      <c r="G23" s="137">
        <f t="shared" si="13"/>
        <v>40</v>
      </c>
      <c r="H23" s="137">
        <f t="shared" si="13"/>
        <v>40</v>
      </c>
      <c r="I23" s="137">
        <f t="shared" si="13"/>
        <v>200</v>
      </c>
      <c r="J23" s="137">
        <f t="shared" si="13"/>
        <v>40</v>
      </c>
      <c r="K23" s="137">
        <f t="shared" si="13"/>
        <v>40</v>
      </c>
      <c r="L23" s="54"/>
      <c r="M23" s="54" t="s">
        <v>23</v>
      </c>
      <c r="N23" s="54"/>
      <c r="O23" s="54"/>
      <c r="P23" s="44"/>
      <c r="Q23" s="44"/>
      <c r="R23" s="44"/>
    </row>
    <row r="24" spans="2:18" outlineLevel="1" x14ac:dyDescent="0.3">
      <c r="B24" s="112" t="s">
        <v>193</v>
      </c>
      <c r="C24" s="44"/>
      <c r="D24" s="44"/>
      <c r="E24" s="137">
        <f>E10+E17</f>
        <v>-20</v>
      </c>
      <c r="F24" s="137">
        <f t="shared" ref="F24:K24" si="14">F10+F17</f>
        <v>-5</v>
      </c>
      <c r="G24" s="137">
        <f t="shared" si="14"/>
        <v>0</v>
      </c>
      <c r="H24" s="137">
        <f t="shared" si="14"/>
        <v>-10</v>
      </c>
      <c r="I24" s="137">
        <f t="shared" si="14"/>
        <v>-50</v>
      </c>
      <c r="J24" s="137">
        <f t="shared" si="14"/>
        <v>0</v>
      </c>
      <c r="K24" s="137">
        <f t="shared" si="14"/>
        <v>0</v>
      </c>
      <c r="L24" s="54"/>
      <c r="M24" s="54" t="s">
        <v>46</v>
      </c>
      <c r="N24" s="54"/>
      <c r="O24" s="54"/>
      <c r="P24" s="44"/>
      <c r="Q24" s="44"/>
      <c r="R24" s="44"/>
    </row>
    <row r="25" spans="2:18" outlineLevel="1" x14ac:dyDescent="0.3">
      <c r="B25" s="112" t="s">
        <v>47</v>
      </c>
      <c r="C25" s="44"/>
      <c r="D25" s="44"/>
      <c r="E25" s="137">
        <f>E11+E18</f>
        <v>-10</v>
      </c>
      <c r="F25" s="137">
        <f t="shared" ref="F25:K25" si="15">F11+F18</f>
        <v>-11</v>
      </c>
      <c r="G25" s="137">
        <f t="shared" si="15"/>
        <v>-19.903794300000001</v>
      </c>
      <c r="H25" s="137">
        <f t="shared" si="15"/>
        <v>-23</v>
      </c>
      <c r="I25" s="137">
        <f t="shared" si="15"/>
        <v>-37</v>
      </c>
      <c r="J25" s="137">
        <f t="shared" si="15"/>
        <v>-40</v>
      </c>
      <c r="K25" s="137">
        <f t="shared" si="15"/>
        <v>-40</v>
      </c>
      <c r="L25" s="54"/>
      <c r="M25" s="54" t="s">
        <v>287</v>
      </c>
      <c r="N25" s="54"/>
      <c r="O25" s="54"/>
      <c r="P25" s="44"/>
      <c r="Q25" s="44"/>
      <c r="R25" s="44"/>
    </row>
    <row r="26" spans="2:18" s="2" customFormat="1" outlineLevel="1" x14ac:dyDescent="0.3">
      <c r="B26" s="113" t="s">
        <v>284</v>
      </c>
      <c r="C26" s="46"/>
      <c r="D26" s="46"/>
      <c r="E26" s="136">
        <f>SUM(E22:E25)</f>
        <v>120</v>
      </c>
      <c r="F26" s="136">
        <f t="shared" ref="F26:K26" si="16">SUM(F22:F25)</f>
        <v>140</v>
      </c>
      <c r="G26" s="136">
        <f t="shared" si="16"/>
        <v>160.09620569999998</v>
      </c>
      <c r="H26" s="136">
        <f t="shared" si="16"/>
        <v>167.09620569999998</v>
      </c>
      <c r="I26" s="136">
        <f t="shared" si="16"/>
        <v>280.09620569999998</v>
      </c>
      <c r="J26" s="136">
        <f t="shared" si="16"/>
        <v>280.09620569999998</v>
      </c>
      <c r="K26" s="136">
        <f t="shared" si="16"/>
        <v>280.09620569999998</v>
      </c>
      <c r="L26" s="55"/>
      <c r="M26" s="54" t="s">
        <v>52</v>
      </c>
      <c r="N26" s="55"/>
      <c r="O26" s="55"/>
      <c r="P26" s="46"/>
      <c r="Q26" s="46"/>
      <c r="R26" s="46"/>
    </row>
    <row r="27" spans="2:18" outlineLevel="1" x14ac:dyDescent="0.3">
      <c r="B27" s="104" t="s">
        <v>363</v>
      </c>
      <c r="C27" s="44"/>
      <c r="D27" s="44"/>
      <c r="E27" s="169">
        <f>'1. Realisatie RR en BS'!E38</f>
        <v>120</v>
      </c>
      <c r="F27" s="169">
        <f>'1. Realisatie RR en BS'!F38</f>
        <v>140</v>
      </c>
      <c r="G27" s="174"/>
      <c r="H27" s="174"/>
      <c r="I27" s="174"/>
      <c r="J27" s="174"/>
      <c r="K27" s="174"/>
      <c r="L27" s="54"/>
      <c r="M27" s="105" t="s">
        <v>246</v>
      </c>
      <c r="N27" s="54"/>
      <c r="O27" s="54"/>
      <c r="P27" s="44"/>
      <c r="Q27" s="44"/>
      <c r="R27" s="44"/>
    </row>
    <row r="28" spans="2:18" outlineLevel="1" x14ac:dyDescent="0.3">
      <c r="B28" s="44"/>
      <c r="C28" s="44"/>
      <c r="D28" s="44"/>
      <c r="E28" s="137"/>
      <c r="F28" s="137"/>
      <c r="G28" s="137"/>
      <c r="H28" s="137"/>
      <c r="I28" s="137"/>
      <c r="J28" s="137"/>
      <c r="K28" s="137"/>
      <c r="L28" s="54"/>
      <c r="M28" s="54"/>
      <c r="N28" s="54"/>
      <c r="O28" s="54"/>
      <c r="P28" s="44"/>
      <c r="Q28" s="44"/>
      <c r="R28" s="44"/>
    </row>
    <row r="29" spans="2:18" s="4" customFormat="1" outlineLevel="1" x14ac:dyDescent="0.3">
      <c r="B29" s="114" t="s">
        <v>48</v>
      </c>
      <c r="C29" s="44"/>
      <c r="D29" s="44"/>
      <c r="E29" s="137"/>
      <c r="F29" s="137"/>
      <c r="G29" s="137"/>
      <c r="H29" s="137"/>
      <c r="I29" s="137"/>
      <c r="J29" s="137"/>
      <c r="K29" s="137"/>
      <c r="L29" s="54"/>
      <c r="M29" s="54"/>
      <c r="N29" s="54"/>
      <c r="O29" s="54"/>
      <c r="P29" s="54"/>
      <c r="Q29" s="54"/>
      <c r="R29" s="54"/>
    </row>
    <row r="30" spans="2:18" s="4" customFormat="1" outlineLevel="1" x14ac:dyDescent="0.3">
      <c r="B30" s="112" t="s">
        <v>21</v>
      </c>
      <c r="C30" s="44"/>
      <c r="D30" s="44"/>
      <c r="E30" s="137">
        <f>E32-E31</f>
        <v>20</v>
      </c>
      <c r="F30" s="137">
        <f>F32-F31</f>
        <v>19</v>
      </c>
      <c r="G30" s="133">
        <v>0</v>
      </c>
      <c r="H30" s="133">
        <v>14</v>
      </c>
      <c r="I30" s="133">
        <v>44</v>
      </c>
      <c r="J30" s="133">
        <v>0</v>
      </c>
      <c r="K30" s="133">
        <v>0</v>
      </c>
      <c r="L30" s="54"/>
      <c r="M30" s="54" t="s">
        <v>23</v>
      </c>
      <c r="N30" s="54"/>
      <c r="O30" s="54"/>
      <c r="P30" s="54"/>
      <c r="Q30" s="54"/>
      <c r="R30" s="54"/>
    </row>
    <row r="31" spans="2:18" s="4" customFormat="1" outlineLevel="1" x14ac:dyDescent="0.3">
      <c r="B31" s="112" t="s">
        <v>20</v>
      </c>
      <c r="C31" s="44"/>
      <c r="D31" s="44"/>
      <c r="E31" s="137">
        <f>E24</f>
        <v>-20</v>
      </c>
      <c r="F31" s="137">
        <f t="shared" ref="F31:K31" si="17">F24</f>
        <v>-5</v>
      </c>
      <c r="G31" s="137">
        <f t="shared" si="17"/>
        <v>0</v>
      </c>
      <c r="H31" s="137">
        <f t="shared" si="17"/>
        <v>-10</v>
      </c>
      <c r="I31" s="137">
        <f t="shared" si="17"/>
        <v>-50</v>
      </c>
      <c r="J31" s="137">
        <f t="shared" si="17"/>
        <v>0</v>
      </c>
      <c r="K31" s="137">
        <f t="shared" si="17"/>
        <v>0</v>
      </c>
      <c r="L31" s="54"/>
      <c r="M31" s="54" t="str">
        <f ca="1">"Kopie rij "&amp;_xlfn.FORMULATEXT(K31)</f>
        <v>Kopie rij =K24</v>
      </c>
      <c r="N31" s="54"/>
      <c r="O31" s="54"/>
      <c r="P31" s="54"/>
      <c r="Q31" s="54"/>
      <c r="R31" s="54"/>
    </row>
    <row r="32" spans="2:18" s="4" customFormat="1" outlineLevel="1" x14ac:dyDescent="0.3">
      <c r="B32" s="113" t="str">
        <f>RR!B20</f>
        <v>Verkoopresultaat vaste activa</v>
      </c>
      <c r="C32" s="46"/>
      <c r="D32" s="46"/>
      <c r="E32" s="158">
        <f>'1. Realisatie RR en BS'!E24</f>
        <v>0</v>
      </c>
      <c r="F32" s="158">
        <f>'1. Realisatie RR en BS'!F24</f>
        <v>14</v>
      </c>
      <c r="G32" s="136">
        <f>SUM(G30:G31)</f>
        <v>0</v>
      </c>
      <c r="H32" s="136">
        <f t="shared" ref="H32:K32" si="18">SUM(H30:H31)</f>
        <v>4</v>
      </c>
      <c r="I32" s="136">
        <f t="shared" si="18"/>
        <v>-6</v>
      </c>
      <c r="J32" s="136">
        <f t="shared" si="18"/>
        <v>0</v>
      </c>
      <c r="K32" s="136">
        <f t="shared" si="18"/>
        <v>0</v>
      </c>
      <c r="L32" s="54"/>
      <c r="M32" s="54" t="s">
        <v>287</v>
      </c>
      <c r="N32" s="54"/>
      <c r="O32" s="54"/>
      <c r="P32" s="54"/>
      <c r="Q32" s="54"/>
      <c r="R32" s="54"/>
    </row>
    <row r="33" spans="2:18" s="4" customFormat="1" x14ac:dyDescent="0.3">
      <c r="B33" s="44"/>
      <c r="C33" s="44"/>
      <c r="D33" s="44"/>
      <c r="E33" s="137"/>
      <c r="F33" s="141"/>
      <c r="G33" s="141"/>
      <c r="H33" s="141"/>
      <c r="I33" s="141"/>
      <c r="J33" s="141"/>
      <c r="K33" s="141"/>
      <c r="L33" s="54"/>
      <c r="M33" s="54"/>
      <c r="N33" s="54"/>
      <c r="O33" s="54"/>
      <c r="P33" s="54"/>
      <c r="Q33" s="54"/>
      <c r="R33" s="54"/>
    </row>
    <row r="34" spans="2:18" s="2" customFormat="1" x14ac:dyDescent="0.3">
      <c r="B34" s="131" t="s">
        <v>75</v>
      </c>
      <c r="C34" s="132"/>
      <c r="D34" s="131"/>
      <c r="E34" s="132" t="str">
        <f>E$5</f>
        <v>R 2024</v>
      </c>
      <c r="F34" s="132" t="str">
        <f t="shared" ref="F34:K34" si="19">F$5</f>
        <v>R 2025</v>
      </c>
      <c r="G34" s="132" t="str">
        <f t="shared" si="19"/>
        <v>P 2026</v>
      </c>
      <c r="H34" s="132" t="str">
        <f t="shared" si="19"/>
        <v>P 2027</v>
      </c>
      <c r="I34" s="132" t="str">
        <f t="shared" si="19"/>
        <v>P 2028</v>
      </c>
      <c r="J34" s="132" t="str">
        <f t="shared" si="19"/>
        <v>P 2029</v>
      </c>
      <c r="K34" s="132" t="str">
        <f t="shared" si="19"/>
        <v>P 2030</v>
      </c>
      <c r="L34" s="59"/>
      <c r="M34" s="59"/>
      <c r="N34" s="46"/>
      <c r="O34" s="46"/>
      <c r="P34" s="46"/>
      <c r="Q34" s="46"/>
      <c r="R34" s="46"/>
    </row>
    <row r="35" spans="2:18" s="2" customFormat="1" hidden="1" outlineLevel="1" x14ac:dyDescent="0.3">
      <c r="B35" s="106"/>
      <c r="C35" s="50"/>
      <c r="D35" s="106"/>
      <c r="E35" s="50"/>
      <c r="F35" s="50"/>
      <c r="G35" s="50"/>
      <c r="H35" s="50"/>
      <c r="I35" s="50"/>
      <c r="J35" s="50"/>
      <c r="K35" s="50"/>
      <c r="L35" s="106"/>
      <c r="M35" s="106"/>
      <c r="N35" s="46"/>
      <c r="O35" s="46"/>
      <c r="P35" s="46"/>
      <c r="Q35" s="46"/>
      <c r="R35" s="46"/>
    </row>
    <row r="36" spans="2:18" s="26" customFormat="1" hidden="1" outlineLevel="1" x14ac:dyDescent="0.3">
      <c r="B36" s="66" t="str">
        <f>'2. Prognose RR'!B11</f>
        <v>Opbrengsten (p*q) productgroep 1</v>
      </c>
      <c r="C36" s="107"/>
      <c r="D36" s="66"/>
      <c r="E36" s="170">
        <f>'2. Prognose RR'!E11</f>
        <v>500</v>
      </c>
      <c r="F36" s="170">
        <f>'2. Prognose RR'!F11</f>
        <v>525</v>
      </c>
      <c r="G36" s="170">
        <f>'2. Prognose RR'!G11</f>
        <v>535.5</v>
      </c>
      <c r="H36" s="170">
        <f>'2. Prognose RR'!H11</f>
        <v>591.72749999999996</v>
      </c>
      <c r="I36" s="170">
        <f>'2. Prognose RR'!I11</f>
        <v>649.98990000000003</v>
      </c>
      <c r="J36" s="170">
        <f>'2. Prognose RR'!J11</f>
        <v>710.34610499999997</v>
      </c>
      <c r="K36" s="170">
        <f>'2. Prognose RR'!K11</f>
        <v>724.55302710000001</v>
      </c>
      <c r="L36" s="66"/>
      <c r="M36" s="66" t="s">
        <v>288</v>
      </c>
      <c r="N36" s="66"/>
      <c r="O36" s="66"/>
      <c r="P36" s="66"/>
      <c r="Q36" s="66"/>
      <c r="R36" s="66"/>
    </row>
    <row r="37" spans="2:18" s="26" customFormat="1" hidden="1" outlineLevel="1" x14ac:dyDescent="0.3">
      <c r="B37" s="66"/>
      <c r="C37" s="107"/>
      <c r="D37" s="66"/>
      <c r="E37" s="108"/>
      <c r="F37" s="108"/>
      <c r="G37" s="108"/>
      <c r="H37" s="108"/>
      <c r="I37" s="108"/>
      <c r="J37" s="108"/>
      <c r="K37" s="108"/>
      <c r="L37" s="66"/>
      <c r="M37" s="66"/>
      <c r="N37" s="66"/>
      <c r="O37" s="66"/>
      <c r="P37" s="66"/>
      <c r="Q37" s="66"/>
      <c r="R37" s="66"/>
    </row>
    <row r="38" spans="2:18" hidden="1" outlineLevel="1" x14ac:dyDescent="0.3">
      <c r="B38" s="44" t="s">
        <v>27</v>
      </c>
      <c r="C38" s="121">
        <v>7</v>
      </c>
      <c r="D38" s="44"/>
      <c r="E38" s="60">
        <f>E39/(E36/365)</f>
        <v>18.25</v>
      </c>
      <c r="F38" s="60">
        <f>F39/(F36/365)</f>
        <v>6.9523809523809526</v>
      </c>
      <c r="G38" s="60">
        <f>$C38</f>
        <v>7</v>
      </c>
      <c r="H38" s="60">
        <f>$C38</f>
        <v>7</v>
      </c>
      <c r="I38" s="60">
        <f>$C38</f>
        <v>7</v>
      </c>
      <c r="J38" s="60">
        <f>$C38</f>
        <v>7</v>
      </c>
      <c r="K38" s="60">
        <f>$C38</f>
        <v>7</v>
      </c>
      <c r="L38" s="54"/>
      <c r="M38" s="54" t="s">
        <v>294</v>
      </c>
      <c r="N38" s="44"/>
      <c r="O38" s="44"/>
      <c r="P38" s="44"/>
      <c r="Q38" s="44"/>
      <c r="R38" s="44"/>
    </row>
    <row r="39" spans="2:18" hidden="1" outlineLevel="1" x14ac:dyDescent="0.3">
      <c r="B39" s="46" t="str">
        <f>Balans!B10</f>
        <v>Voorraden</v>
      </c>
      <c r="C39" s="60"/>
      <c r="D39" s="44"/>
      <c r="E39" s="159">
        <f>'1. Realisatie RR en BS'!E41</f>
        <v>25</v>
      </c>
      <c r="F39" s="159">
        <f>'1. Realisatie RR en BS'!F41</f>
        <v>10</v>
      </c>
      <c r="G39" s="138">
        <f>G36/365*G38</f>
        <v>10.269863013698629</v>
      </c>
      <c r="H39" s="138">
        <f t="shared" ref="H39:K39" si="20">H36/365*H38</f>
        <v>11.348198630136986</v>
      </c>
      <c r="I39" s="138">
        <f t="shared" si="20"/>
        <v>12.465559726027397</v>
      </c>
      <c r="J39" s="138">
        <f t="shared" si="20"/>
        <v>13.62307598630137</v>
      </c>
      <c r="K39" s="138">
        <f t="shared" si="20"/>
        <v>13.895537506027397</v>
      </c>
      <c r="L39" s="44"/>
      <c r="M39" s="44" t="s">
        <v>239</v>
      </c>
      <c r="N39" s="44"/>
      <c r="O39" s="44"/>
      <c r="P39" s="44"/>
      <c r="Q39" s="44"/>
      <c r="R39" s="44"/>
    </row>
    <row r="40" spans="2:18" hidden="1" outlineLevel="1" x14ac:dyDescent="0.3">
      <c r="B40" s="44"/>
      <c r="C40" s="60"/>
      <c r="D40" s="44"/>
      <c r="E40" s="60"/>
      <c r="F40" s="60"/>
      <c r="G40" s="60"/>
      <c r="H40" s="60"/>
      <c r="I40" s="60"/>
      <c r="J40" s="60"/>
      <c r="K40" s="60"/>
      <c r="L40" s="44"/>
      <c r="M40" s="44"/>
      <c r="N40" s="44"/>
      <c r="O40" s="44"/>
      <c r="P40" s="44"/>
      <c r="Q40" s="44"/>
      <c r="R40" s="44"/>
    </row>
    <row r="41" spans="2:18" hidden="1" outlineLevel="1" x14ac:dyDescent="0.3">
      <c r="B41" s="44" t="s">
        <v>26</v>
      </c>
      <c r="C41" s="121">
        <v>30</v>
      </c>
      <c r="D41" s="44"/>
      <c r="E41" s="60">
        <f>E42/(E36/365)</f>
        <v>43.800000000000004</v>
      </c>
      <c r="F41" s="60">
        <f>F42/(F36/365)</f>
        <v>42.409523809523812</v>
      </c>
      <c r="G41" s="60">
        <f>$C41</f>
        <v>30</v>
      </c>
      <c r="H41" s="60">
        <f t="shared" ref="H41:K41" si="21">$C41</f>
        <v>30</v>
      </c>
      <c r="I41" s="60">
        <f t="shared" si="21"/>
        <v>30</v>
      </c>
      <c r="J41" s="60">
        <f t="shared" si="21"/>
        <v>30</v>
      </c>
      <c r="K41" s="60">
        <f t="shared" si="21"/>
        <v>30</v>
      </c>
      <c r="L41" s="54"/>
      <c r="M41" s="54" t="s">
        <v>41</v>
      </c>
      <c r="N41" s="44"/>
      <c r="O41" s="44"/>
      <c r="P41" s="44"/>
      <c r="Q41" s="44"/>
      <c r="R41" s="44"/>
    </row>
    <row r="42" spans="2:18" hidden="1" outlineLevel="1" x14ac:dyDescent="0.3">
      <c r="B42" s="46" t="str">
        <f>Balans!B11</f>
        <v>Debiteuren</v>
      </c>
      <c r="C42" s="60"/>
      <c r="D42" s="44"/>
      <c r="E42" s="159">
        <f>'1. Realisatie RR en BS'!E42</f>
        <v>60</v>
      </c>
      <c r="F42" s="159">
        <f>'1. Realisatie RR en BS'!F42</f>
        <v>61</v>
      </c>
      <c r="G42" s="138">
        <f>G36/365*G41</f>
        <v>44.013698630136986</v>
      </c>
      <c r="H42" s="138">
        <f>H36/365*H41</f>
        <v>48.635136986301369</v>
      </c>
      <c r="I42" s="138">
        <f>I36/365*I41</f>
        <v>53.423827397260276</v>
      </c>
      <c r="J42" s="138">
        <f>J36/365*J41</f>
        <v>58.384611369863016</v>
      </c>
      <c r="K42" s="138">
        <f>K36/365*K41</f>
        <v>59.552303597260277</v>
      </c>
      <c r="L42" s="44"/>
      <c r="M42" s="44" t="s">
        <v>182</v>
      </c>
      <c r="N42" s="44"/>
      <c r="O42" s="44"/>
      <c r="P42" s="44"/>
      <c r="Q42" s="44"/>
      <c r="R42" s="44"/>
    </row>
    <row r="43" spans="2:18" hidden="1" outlineLevel="1" x14ac:dyDescent="0.3">
      <c r="B43" s="44"/>
      <c r="C43" s="60"/>
      <c r="D43" s="44"/>
      <c r="E43" s="60"/>
      <c r="F43" s="60"/>
      <c r="G43" s="60"/>
      <c r="H43" s="60"/>
      <c r="I43" s="60"/>
      <c r="J43" s="60"/>
      <c r="K43" s="60"/>
      <c r="L43" s="44"/>
      <c r="M43" s="44"/>
      <c r="N43" s="44"/>
      <c r="O43" s="44"/>
      <c r="P43" s="44"/>
      <c r="Q43" s="44"/>
      <c r="R43" s="44"/>
    </row>
    <row r="44" spans="2:18" hidden="1" outlineLevel="1" x14ac:dyDescent="0.3">
      <c r="B44" s="44" t="s">
        <v>44</v>
      </c>
      <c r="C44" s="125">
        <v>6.0000000000000001E-3</v>
      </c>
      <c r="D44" s="44"/>
      <c r="E44" s="65">
        <f>E45/E36</f>
        <v>0.01</v>
      </c>
      <c r="F44" s="65">
        <f>F45/F36</f>
        <v>1.1428571428571429E-2</v>
      </c>
      <c r="G44" s="65">
        <f>$C44</f>
        <v>6.0000000000000001E-3</v>
      </c>
      <c r="H44" s="65">
        <f t="shared" ref="H44:K44" si="22">$C44</f>
        <v>6.0000000000000001E-3</v>
      </c>
      <c r="I44" s="65">
        <f t="shared" si="22"/>
        <v>6.0000000000000001E-3</v>
      </c>
      <c r="J44" s="65">
        <f t="shared" si="22"/>
        <v>6.0000000000000001E-3</v>
      </c>
      <c r="K44" s="109">
        <f t="shared" si="22"/>
        <v>6.0000000000000001E-3</v>
      </c>
      <c r="L44" s="44"/>
      <c r="M44" s="54" t="s">
        <v>181</v>
      </c>
      <c r="N44" s="44"/>
      <c r="O44" s="44"/>
      <c r="P44" s="44"/>
      <c r="Q44" s="44"/>
      <c r="R44" s="44"/>
    </row>
    <row r="45" spans="2:18" hidden="1" outlineLevel="1" x14ac:dyDescent="0.3">
      <c r="B45" s="46" t="str">
        <f>Balans!B12</f>
        <v>Overige kortlopende activa</v>
      </c>
      <c r="C45" s="44"/>
      <c r="D45" s="44"/>
      <c r="E45" s="159">
        <f>'1. Realisatie RR en BS'!E43</f>
        <v>5</v>
      </c>
      <c r="F45" s="159">
        <f>'1. Realisatie RR en BS'!F43</f>
        <v>6</v>
      </c>
      <c r="G45" s="138">
        <f>G44*G36</f>
        <v>3.2130000000000001</v>
      </c>
      <c r="H45" s="138">
        <f>H44*H36</f>
        <v>3.5503649999999998</v>
      </c>
      <c r="I45" s="138">
        <f>I44*I36</f>
        <v>3.8999394000000005</v>
      </c>
      <c r="J45" s="138">
        <f>J44*J36</f>
        <v>4.2620766300000001</v>
      </c>
      <c r="K45" s="138">
        <f>K44*K36</f>
        <v>4.3473181625999997</v>
      </c>
      <c r="L45" s="44"/>
      <c r="M45" s="44" t="s">
        <v>183</v>
      </c>
      <c r="N45" s="44"/>
      <c r="O45" s="44"/>
      <c r="P45" s="44"/>
      <c r="Q45" s="44"/>
      <c r="R45" s="44"/>
    </row>
    <row r="46" spans="2:18" hidden="1" outlineLevel="1" x14ac:dyDescent="0.3">
      <c r="B46" s="44"/>
      <c r="C46" s="44"/>
      <c r="D46" s="44"/>
      <c r="E46" s="137"/>
      <c r="F46" s="137"/>
      <c r="G46" s="137"/>
      <c r="H46" s="137"/>
      <c r="I46" s="137"/>
      <c r="J46" s="137"/>
      <c r="K46" s="137"/>
      <c r="L46" s="44"/>
      <c r="M46" s="44"/>
      <c r="N46" s="44"/>
      <c r="O46" s="44"/>
      <c r="P46" s="44"/>
      <c r="Q46" s="44"/>
      <c r="R46" s="44"/>
    </row>
    <row r="47" spans="2:18" s="2" customFormat="1" hidden="1" outlineLevel="1" x14ac:dyDescent="0.3">
      <c r="B47" s="46" t="str">
        <f>Balans!B13</f>
        <v>Liquide Middelen</v>
      </c>
      <c r="C47" s="46"/>
      <c r="D47" s="46"/>
      <c r="E47" s="159">
        <f>'1. Realisatie RR en BS'!E44</f>
        <v>104</v>
      </c>
      <c r="F47" s="159">
        <f>'1. Realisatie RR en BS'!F44</f>
        <v>79</v>
      </c>
      <c r="G47" s="138">
        <f>G126</f>
        <v>69.987178027054881</v>
      </c>
      <c r="H47" s="138">
        <f>H126</f>
        <v>201.249375955137</v>
      </c>
      <c r="I47" s="138">
        <f>I126</f>
        <v>31.997839058561681</v>
      </c>
      <c r="J47" s="138">
        <f>J126</f>
        <v>29.705218065171096</v>
      </c>
      <c r="K47" s="138">
        <f>K126</f>
        <v>9.9019547758746285</v>
      </c>
      <c r="L47" s="46"/>
      <c r="M47" s="46" t="s">
        <v>295</v>
      </c>
      <c r="N47" s="46"/>
      <c r="O47" s="46"/>
      <c r="P47" s="46"/>
      <c r="Q47" s="46"/>
      <c r="R47" s="46"/>
    </row>
    <row r="48" spans="2:18" collapsed="1" x14ac:dyDescent="0.3">
      <c r="B48" s="44"/>
      <c r="C48" s="44"/>
      <c r="D48" s="44"/>
      <c r="E48" s="141"/>
      <c r="F48" s="141"/>
      <c r="G48" s="141"/>
      <c r="H48" s="141"/>
      <c r="I48" s="141"/>
      <c r="J48" s="141"/>
      <c r="K48" s="141"/>
      <c r="L48" s="44"/>
      <c r="M48" s="44"/>
      <c r="N48" s="44"/>
      <c r="O48" s="44"/>
      <c r="P48" s="44"/>
      <c r="Q48" s="44"/>
      <c r="R48" s="44"/>
    </row>
    <row r="49" spans="2:18" s="2" customFormat="1" x14ac:dyDescent="0.3">
      <c r="B49" s="131" t="s">
        <v>77</v>
      </c>
      <c r="C49" s="132"/>
      <c r="D49" s="131"/>
      <c r="E49" s="132" t="str">
        <f>E$5</f>
        <v>R 2024</v>
      </c>
      <c r="F49" s="132" t="str">
        <f t="shared" ref="F49:K49" si="23">F$5</f>
        <v>R 2025</v>
      </c>
      <c r="G49" s="132" t="str">
        <f t="shared" si="23"/>
        <v>P 2026</v>
      </c>
      <c r="H49" s="132" t="str">
        <f t="shared" si="23"/>
        <v>P 2027</v>
      </c>
      <c r="I49" s="132" t="str">
        <f t="shared" si="23"/>
        <v>P 2028</v>
      </c>
      <c r="J49" s="132" t="str">
        <f t="shared" si="23"/>
        <v>P 2029</v>
      </c>
      <c r="K49" s="132" t="str">
        <f t="shared" si="23"/>
        <v>P 2030</v>
      </c>
      <c r="L49" s="59"/>
      <c r="M49" s="59"/>
      <c r="N49" s="59"/>
      <c r="O49" s="59"/>
      <c r="P49" s="46"/>
      <c r="Q49" s="46"/>
      <c r="R49" s="46"/>
    </row>
    <row r="50" spans="2:18" s="2" customFormat="1" hidden="1" outlineLevel="1" x14ac:dyDescent="0.3">
      <c r="B50" s="46"/>
      <c r="C50" s="46"/>
      <c r="D50" s="46"/>
      <c r="E50" s="171"/>
      <c r="F50" s="171"/>
      <c r="G50" s="171"/>
      <c r="H50" s="171"/>
      <c r="I50" s="171"/>
      <c r="J50" s="171"/>
      <c r="K50" s="171"/>
      <c r="L50" s="55"/>
      <c r="M50" s="55"/>
      <c r="N50" s="55"/>
      <c r="O50" s="55"/>
      <c r="P50" s="46"/>
      <c r="Q50" s="46"/>
      <c r="R50" s="46"/>
    </row>
    <row r="51" spans="2:18" hidden="1" outlineLevel="1" x14ac:dyDescent="0.3">
      <c r="B51" s="44" t="s">
        <v>31</v>
      </c>
      <c r="C51" s="44"/>
      <c r="D51" s="44"/>
      <c r="E51" s="137">
        <f>E53-E52</f>
        <v>47</v>
      </c>
      <c r="F51" s="137">
        <f t="shared" ref="F51:K51" si="24">E53</f>
        <v>100</v>
      </c>
      <c r="G51" s="137">
        <f t="shared" si="24"/>
        <v>142</v>
      </c>
      <c r="H51" s="137">
        <f t="shared" si="24"/>
        <v>169.35090427500003</v>
      </c>
      <c r="I51" s="137">
        <f t="shared" si="24"/>
        <v>201.23954802499998</v>
      </c>
      <c r="J51" s="137">
        <f t="shared" si="24"/>
        <v>213.75180777499997</v>
      </c>
      <c r="K51" s="137">
        <f t="shared" si="24"/>
        <v>260.3643777074999</v>
      </c>
      <c r="L51" s="54"/>
      <c r="M51" s="54"/>
      <c r="N51" s="54"/>
      <c r="O51" s="54"/>
      <c r="P51" s="44"/>
      <c r="Q51" s="44"/>
      <c r="R51" s="44"/>
    </row>
    <row r="52" spans="2:18" hidden="1" outlineLevel="1" x14ac:dyDescent="0.3">
      <c r="B52" s="44" t="str">
        <f>'2. Prognose RR'!B74</f>
        <v>Resultaat na dividend</v>
      </c>
      <c r="C52" s="44"/>
      <c r="D52" s="44"/>
      <c r="E52" s="160">
        <f>'2. Prognose RR'!E74</f>
        <v>53</v>
      </c>
      <c r="F52" s="160">
        <f>'2. Prognose RR'!F74</f>
        <v>42</v>
      </c>
      <c r="G52" s="160">
        <f>'2. Prognose RR'!G74</f>
        <v>27.350904275000033</v>
      </c>
      <c r="H52" s="160">
        <f>'2. Prognose RR'!H74</f>
        <v>31.888643749999929</v>
      </c>
      <c r="I52" s="160">
        <f>'2. Prognose RR'!I74</f>
        <v>12.512259750000002</v>
      </c>
      <c r="J52" s="160">
        <f>'2. Prognose RR'!J74</f>
        <v>46.612569932499895</v>
      </c>
      <c r="K52" s="160">
        <f>'2. Prognose RR'!K74</f>
        <v>10.807995789550034</v>
      </c>
      <c r="L52" s="54"/>
      <c r="M52" s="66" t="s">
        <v>288</v>
      </c>
      <c r="N52" s="54"/>
      <c r="O52" s="54"/>
      <c r="P52" s="44"/>
      <c r="Q52" s="44"/>
      <c r="R52" s="44"/>
    </row>
    <row r="53" spans="2:18" hidden="1" outlineLevel="1" x14ac:dyDescent="0.3">
      <c r="B53" s="46" t="s">
        <v>32</v>
      </c>
      <c r="C53" s="46"/>
      <c r="D53" s="46"/>
      <c r="E53" s="158">
        <f>'1. Realisatie RR en BS'!E49</f>
        <v>100</v>
      </c>
      <c r="F53" s="158">
        <f>'1. Realisatie RR en BS'!F49</f>
        <v>142</v>
      </c>
      <c r="G53" s="136">
        <f>SUM(G51:G52)</f>
        <v>169.35090427500003</v>
      </c>
      <c r="H53" s="136">
        <f>SUM(H51:H52)</f>
        <v>201.23954802499998</v>
      </c>
      <c r="I53" s="136">
        <f>SUM(I51:I52)</f>
        <v>213.75180777499997</v>
      </c>
      <c r="J53" s="136">
        <f>SUM(J51:J52)</f>
        <v>260.3643777074999</v>
      </c>
      <c r="K53" s="136">
        <f>SUM(K51:K52)</f>
        <v>271.17237349704993</v>
      </c>
      <c r="L53" s="44"/>
      <c r="M53" s="54" t="s">
        <v>52</v>
      </c>
      <c r="N53" s="44"/>
      <c r="O53" s="44"/>
      <c r="P53" s="44"/>
      <c r="Q53" s="44"/>
      <c r="R53" s="44"/>
    </row>
    <row r="54" spans="2:18" collapsed="1" x14ac:dyDescent="0.3">
      <c r="B54" s="44"/>
      <c r="C54" s="44"/>
      <c r="D54" s="44"/>
      <c r="E54" s="141"/>
      <c r="F54" s="141"/>
      <c r="G54" s="141"/>
      <c r="H54" s="141"/>
      <c r="I54" s="141"/>
      <c r="J54" s="141"/>
      <c r="K54" s="141"/>
      <c r="L54" s="54"/>
      <c r="M54" s="54"/>
      <c r="N54" s="54"/>
      <c r="O54" s="54"/>
      <c r="P54" s="44"/>
      <c r="Q54" s="44"/>
      <c r="R54" s="44"/>
    </row>
    <row r="55" spans="2:18" s="2" customFormat="1" x14ac:dyDescent="0.3">
      <c r="B55" s="131" t="s">
        <v>161</v>
      </c>
      <c r="C55" s="132"/>
      <c r="D55" s="131"/>
      <c r="E55" s="132" t="str">
        <f>E$5</f>
        <v>R 2024</v>
      </c>
      <c r="F55" s="132" t="str">
        <f t="shared" ref="F55:K55" si="25">F$5</f>
        <v>R 2025</v>
      </c>
      <c r="G55" s="132" t="str">
        <f t="shared" si="25"/>
        <v>P 2026</v>
      </c>
      <c r="H55" s="132" t="str">
        <f t="shared" si="25"/>
        <v>P 2027</v>
      </c>
      <c r="I55" s="132" t="str">
        <f t="shared" si="25"/>
        <v>P 2028</v>
      </c>
      <c r="J55" s="132" t="str">
        <f t="shared" si="25"/>
        <v>P 2029</v>
      </c>
      <c r="K55" s="132" t="str">
        <f t="shared" si="25"/>
        <v>P 2030</v>
      </c>
      <c r="L55" s="59"/>
      <c r="M55" s="59"/>
      <c r="N55" s="59"/>
      <c r="O55" s="59"/>
      <c r="P55" s="46"/>
      <c r="Q55" s="46"/>
      <c r="R55" s="46"/>
    </row>
    <row r="56" spans="2:18" s="2" customFormat="1" outlineLevel="1" x14ac:dyDescent="0.3">
      <c r="B56" s="46"/>
      <c r="C56" s="46"/>
      <c r="D56" s="46"/>
      <c r="E56" s="171"/>
      <c r="F56" s="171"/>
      <c r="G56" s="171"/>
      <c r="H56" s="171"/>
      <c r="I56" s="171"/>
      <c r="J56" s="171"/>
      <c r="K56" s="171"/>
      <c r="L56" s="55"/>
      <c r="M56" s="55"/>
      <c r="N56" s="55"/>
      <c r="O56" s="55"/>
      <c r="P56" s="46"/>
      <c r="Q56" s="46"/>
      <c r="R56" s="46"/>
    </row>
    <row r="57" spans="2:18" outlineLevel="1" x14ac:dyDescent="0.3">
      <c r="B57" s="44" t="s">
        <v>31</v>
      </c>
      <c r="C57" s="44"/>
      <c r="D57" s="44"/>
      <c r="E57" s="137">
        <f>SUM(E58:E61)</f>
        <v>60</v>
      </c>
      <c r="F57" s="137">
        <f t="shared" ref="F57" si="26">E61</f>
        <v>60</v>
      </c>
      <c r="G57" s="137">
        <f t="shared" ref="G57" si="27">F61</f>
        <v>10</v>
      </c>
      <c r="H57" s="137">
        <f t="shared" ref="H57" si="28">G61</f>
        <v>30</v>
      </c>
      <c r="I57" s="137">
        <f t="shared" ref="I57" si="29">H61</f>
        <v>10</v>
      </c>
      <c r="J57" s="137">
        <f t="shared" ref="J57" si="30">I61</f>
        <v>10</v>
      </c>
      <c r="K57" s="137">
        <f t="shared" ref="K57" si="31">J61</f>
        <v>10</v>
      </c>
      <c r="L57" s="54"/>
      <c r="M57" s="54"/>
      <c r="N57" s="54"/>
      <c r="O57" s="54"/>
      <c r="P57" s="44"/>
      <c r="Q57" s="44"/>
      <c r="R57" s="44"/>
    </row>
    <row r="58" spans="2:18" outlineLevel="1" x14ac:dyDescent="0.3">
      <c r="B58" s="44" t="s">
        <v>187</v>
      </c>
      <c r="C58" s="44"/>
      <c r="D58" s="44"/>
      <c r="E58" s="133">
        <v>15</v>
      </c>
      <c r="F58" s="133">
        <v>10</v>
      </c>
      <c r="G58" s="133">
        <v>30</v>
      </c>
      <c r="H58" s="133">
        <v>0</v>
      </c>
      <c r="I58" s="133">
        <v>0</v>
      </c>
      <c r="J58" s="133">
        <v>0</v>
      </c>
      <c r="K58" s="133">
        <v>0</v>
      </c>
      <c r="L58" s="54"/>
      <c r="M58" s="54" t="s">
        <v>198</v>
      </c>
      <c r="N58" s="54"/>
      <c r="O58" s="54"/>
      <c r="P58" s="44"/>
      <c r="Q58" s="44"/>
      <c r="R58" s="44"/>
    </row>
    <row r="59" spans="2:18" outlineLevel="1" x14ac:dyDescent="0.3">
      <c r="B59" s="44" t="s">
        <v>196</v>
      </c>
      <c r="C59" s="44"/>
      <c r="D59" s="44"/>
      <c r="E59" s="133">
        <v>-5</v>
      </c>
      <c r="F59" s="133">
        <v>-60</v>
      </c>
      <c r="G59" s="133">
        <v>-10</v>
      </c>
      <c r="H59" s="133">
        <v>0</v>
      </c>
      <c r="I59" s="133">
        <v>0</v>
      </c>
      <c r="J59" s="133">
        <v>0</v>
      </c>
      <c r="K59" s="133">
        <v>0</v>
      </c>
      <c r="L59" s="54"/>
      <c r="M59" s="54" t="s">
        <v>23</v>
      </c>
      <c r="N59" s="54"/>
      <c r="O59" s="54"/>
      <c r="P59" s="44"/>
      <c r="Q59" s="44"/>
      <c r="R59" s="44"/>
    </row>
    <row r="60" spans="2:18" outlineLevel="1" x14ac:dyDescent="0.3">
      <c r="B60" s="44" t="s">
        <v>188</v>
      </c>
      <c r="C60" s="44"/>
      <c r="D60" s="44"/>
      <c r="E60" s="133">
        <v>-10</v>
      </c>
      <c r="F60" s="133">
        <v>0</v>
      </c>
      <c r="G60" s="133">
        <v>0</v>
      </c>
      <c r="H60" s="133">
        <v>-20</v>
      </c>
      <c r="I60" s="133">
        <v>0</v>
      </c>
      <c r="J60" s="133">
        <v>0</v>
      </c>
      <c r="K60" s="133">
        <v>0</v>
      </c>
      <c r="L60" s="54"/>
      <c r="M60" s="54" t="s">
        <v>198</v>
      </c>
      <c r="N60" s="54"/>
      <c r="O60" s="54"/>
      <c r="P60" s="44"/>
      <c r="Q60" s="44"/>
      <c r="R60" s="44"/>
    </row>
    <row r="61" spans="2:18" outlineLevel="1" x14ac:dyDescent="0.3">
      <c r="B61" s="46" t="s">
        <v>32</v>
      </c>
      <c r="C61" s="46"/>
      <c r="D61" s="46"/>
      <c r="E61" s="158">
        <f>'1. Realisatie RR en BS'!E51</f>
        <v>60</v>
      </c>
      <c r="F61" s="136">
        <f>SUM(F57:F60)</f>
        <v>10</v>
      </c>
      <c r="G61" s="136">
        <f t="shared" ref="G61:K61" si="32">SUM(G57:G60)</f>
        <v>30</v>
      </c>
      <c r="H61" s="136">
        <f t="shared" si="32"/>
        <v>10</v>
      </c>
      <c r="I61" s="136">
        <f t="shared" si="32"/>
        <v>10</v>
      </c>
      <c r="J61" s="136">
        <f t="shared" si="32"/>
        <v>10</v>
      </c>
      <c r="K61" s="136">
        <f t="shared" si="32"/>
        <v>10</v>
      </c>
      <c r="L61" s="44"/>
      <c r="M61" s="54" t="s">
        <v>52</v>
      </c>
      <c r="N61" s="44"/>
      <c r="O61" s="44"/>
      <c r="P61" s="44"/>
      <c r="Q61" s="44"/>
      <c r="R61" s="44"/>
    </row>
    <row r="62" spans="2:18" s="3" customFormat="1" outlineLevel="1" x14ac:dyDescent="0.3">
      <c r="B62" s="52" t="s">
        <v>364</v>
      </c>
      <c r="C62" s="52"/>
      <c r="D62" s="52"/>
      <c r="E62" s="173"/>
      <c r="F62" s="169">
        <f>'1. Realisatie RR en BS'!F51</f>
        <v>10</v>
      </c>
      <c r="G62" s="173"/>
      <c r="H62" s="173"/>
      <c r="I62" s="173"/>
      <c r="J62" s="173"/>
      <c r="K62" s="173"/>
      <c r="L62" s="52"/>
      <c r="M62" s="110" t="s">
        <v>189</v>
      </c>
      <c r="N62" s="52"/>
      <c r="O62" s="52"/>
      <c r="P62" s="52"/>
      <c r="Q62" s="52"/>
      <c r="R62" s="52"/>
    </row>
    <row r="63" spans="2:18" x14ac:dyDescent="0.3">
      <c r="B63" s="44"/>
      <c r="C63" s="44"/>
      <c r="D63" s="44"/>
      <c r="E63" s="141"/>
      <c r="F63" s="141"/>
      <c r="G63" s="141"/>
      <c r="H63" s="141"/>
      <c r="I63" s="141"/>
      <c r="J63" s="141"/>
      <c r="K63" s="141"/>
      <c r="L63" s="54"/>
      <c r="M63" s="54"/>
      <c r="N63" s="54"/>
      <c r="O63" s="54"/>
      <c r="P63" s="44"/>
      <c r="Q63" s="44"/>
      <c r="R63" s="44"/>
    </row>
    <row r="64" spans="2:18" s="2" customFormat="1" x14ac:dyDescent="0.3">
      <c r="B64" s="131" t="s">
        <v>100</v>
      </c>
      <c r="C64" s="132"/>
      <c r="D64" s="131"/>
      <c r="E64" s="132" t="str">
        <f>E$5</f>
        <v>R 2024</v>
      </c>
      <c r="F64" s="132" t="str">
        <f t="shared" ref="F64:K64" si="33">F$5</f>
        <v>R 2025</v>
      </c>
      <c r="G64" s="132" t="str">
        <f t="shared" si="33"/>
        <v>P 2026</v>
      </c>
      <c r="H64" s="132" t="str">
        <f t="shared" si="33"/>
        <v>P 2027</v>
      </c>
      <c r="I64" s="132" t="str">
        <f t="shared" si="33"/>
        <v>P 2028</v>
      </c>
      <c r="J64" s="132" t="str">
        <f t="shared" si="33"/>
        <v>P 2029</v>
      </c>
      <c r="K64" s="132" t="str">
        <f t="shared" si="33"/>
        <v>P 2030</v>
      </c>
      <c r="L64" s="59"/>
      <c r="M64" s="59"/>
      <c r="N64" s="59"/>
      <c r="O64" s="59"/>
      <c r="P64" s="46"/>
      <c r="Q64" s="46"/>
      <c r="R64" s="46"/>
    </row>
    <row r="65" spans="2:18" s="2" customFormat="1" outlineLevel="1" x14ac:dyDescent="0.3">
      <c r="B65" s="46"/>
      <c r="C65" s="46"/>
      <c r="D65" s="46"/>
      <c r="E65" s="61"/>
      <c r="F65" s="61"/>
      <c r="G65" s="61"/>
      <c r="H65" s="61"/>
      <c r="I65" s="61"/>
      <c r="J65" s="61"/>
      <c r="K65" s="61"/>
      <c r="L65" s="55"/>
      <c r="M65" s="55"/>
      <c r="N65" s="55"/>
      <c r="O65" s="55"/>
      <c r="P65" s="46"/>
      <c r="Q65" s="46"/>
      <c r="R65" s="46"/>
    </row>
    <row r="66" spans="2:18" outlineLevel="1" x14ac:dyDescent="0.3">
      <c r="B66" s="114" t="s">
        <v>312</v>
      </c>
      <c r="C66" s="52"/>
      <c r="D66" s="52"/>
      <c r="E66" s="51"/>
      <c r="F66" s="51"/>
      <c r="G66" s="51"/>
      <c r="H66" s="51"/>
      <c r="I66" s="51"/>
      <c r="J66" s="51"/>
      <c r="K66" s="51"/>
      <c r="L66" s="54"/>
      <c r="M66" s="54" t="s">
        <v>313</v>
      </c>
      <c r="N66" s="54"/>
      <c r="O66" s="54"/>
      <c r="P66" s="44"/>
      <c r="Q66" s="44"/>
      <c r="R66" s="44"/>
    </row>
    <row r="67" spans="2:18" outlineLevel="1" x14ac:dyDescent="0.3">
      <c r="B67" s="112" t="s">
        <v>60</v>
      </c>
      <c r="C67" s="52"/>
      <c r="D67" s="52"/>
      <c r="E67" s="178">
        <f>E71-E70-E69-E68</f>
        <v>80</v>
      </c>
      <c r="F67" s="178">
        <f>E71</f>
        <v>70</v>
      </c>
      <c r="G67" s="178">
        <f t="shared" ref="G67" si="34">F71</f>
        <v>60</v>
      </c>
      <c r="H67" s="178">
        <f t="shared" ref="H67" si="35">G71</f>
        <v>30</v>
      </c>
      <c r="I67" s="178">
        <f t="shared" ref="I67" si="36">H71</f>
        <v>10</v>
      </c>
      <c r="J67" s="178">
        <f t="shared" ref="J67" si="37">I71</f>
        <v>0</v>
      </c>
      <c r="K67" s="178">
        <f t="shared" ref="K67" si="38">J71</f>
        <v>0</v>
      </c>
      <c r="L67" s="54"/>
      <c r="M67" s="54" t="s">
        <v>316</v>
      </c>
      <c r="N67" s="54"/>
      <c r="O67" s="54"/>
      <c r="P67" s="44"/>
      <c r="Q67" s="44"/>
      <c r="R67" s="44"/>
    </row>
    <row r="68" spans="2:18" outlineLevel="1" x14ac:dyDescent="0.3">
      <c r="B68" s="112" t="s">
        <v>367</v>
      </c>
      <c r="C68" s="52"/>
      <c r="D68" s="52"/>
      <c r="E68" s="179">
        <v>10</v>
      </c>
      <c r="F68" s="179"/>
      <c r="G68" s="180"/>
      <c r="H68" s="180"/>
      <c r="I68" s="180"/>
      <c r="J68" s="180"/>
      <c r="K68" s="180"/>
      <c r="L68" s="54"/>
      <c r="M68" s="54" t="s">
        <v>366</v>
      </c>
      <c r="N68" s="54"/>
      <c r="O68" s="54"/>
      <c r="P68" s="44"/>
      <c r="Q68" s="44"/>
      <c r="R68" s="44"/>
    </row>
    <row r="69" spans="2:18" outlineLevel="1" x14ac:dyDescent="0.3">
      <c r="B69" s="112" t="s">
        <v>205</v>
      </c>
      <c r="C69" s="44"/>
      <c r="D69" s="44"/>
      <c r="E69" s="181">
        <f>-'1. Realisatie RR en BS'!E55</f>
        <v>-10</v>
      </c>
      <c r="F69" s="181">
        <f>-'1. Realisatie RR en BS'!F55</f>
        <v>-10</v>
      </c>
      <c r="G69" s="179">
        <v>-10</v>
      </c>
      <c r="H69" s="179">
        <v>-20</v>
      </c>
      <c r="I69" s="179">
        <v>-10</v>
      </c>
      <c r="J69" s="179"/>
      <c r="K69" s="179"/>
      <c r="L69" s="54"/>
      <c r="M69" s="54" t="s">
        <v>206</v>
      </c>
      <c r="N69" s="54"/>
      <c r="O69" s="54"/>
      <c r="P69" s="44"/>
      <c r="Q69" s="44"/>
      <c r="R69" s="44"/>
    </row>
    <row r="70" spans="2:18" outlineLevel="1" x14ac:dyDescent="0.3">
      <c r="B70" s="112" t="s">
        <v>200</v>
      </c>
      <c r="C70" s="44"/>
      <c r="D70" s="44"/>
      <c r="E70" s="179">
        <v>-10</v>
      </c>
      <c r="F70" s="179"/>
      <c r="G70" s="179">
        <v>-20</v>
      </c>
      <c r="H70" s="179"/>
      <c r="I70" s="179"/>
      <c r="J70" s="179"/>
      <c r="K70" s="179"/>
      <c r="L70" s="54"/>
      <c r="M70" s="54" t="s">
        <v>310</v>
      </c>
      <c r="N70" s="54"/>
      <c r="O70" s="54"/>
      <c r="P70" s="44"/>
      <c r="Q70" s="44"/>
      <c r="R70" s="44"/>
    </row>
    <row r="71" spans="2:18" s="2" customFormat="1" outlineLevel="1" x14ac:dyDescent="0.3">
      <c r="B71" s="113" t="s">
        <v>25</v>
      </c>
      <c r="C71" s="46"/>
      <c r="D71" s="46"/>
      <c r="E71" s="182">
        <f>'1. Realisatie RR en BS'!E53</f>
        <v>70</v>
      </c>
      <c r="F71" s="183">
        <f>SUM(F67:F70)</f>
        <v>60</v>
      </c>
      <c r="G71" s="183">
        <f t="shared" ref="G71:K71" si="39">SUM(G67:G70)</f>
        <v>30</v>
      </c>
      <c r="H71" s="183">
        <f t="shared" si="39"/>
        <v>10</v>
      </c>
      <c r="I71" s="183">
        <f t="shared" si="39"/>
        <v>0</v>
      </c>
      <c r="J71" s="183">
        <f t="shared" si="39"/>
        <v>0</v>
      </c>
      <c r="K71" s="183">
        <f t="shared" si="39"/>
        <v>0</v>
      </c>
      <c r="L71" s="55"/>
      <c r="M71" s="44" t="s">
        <v>399</v>
      </c>
      <c r="N71" s="55"/>
      <c r="O71" s="55"/>
      <c r="P71" s="46"/>
      <c r="Q71" s="46"/>
      <c r="R71" s="46"/>
    </row>
    <row r="72" spans="2:18" outlineLevel="1" x14ac:dyDescent="0.3">
      <c r="B72" s="44"/>
      <c r="C72" s="44"/>
      <c r="D72" s="44"/>
      <c r="E72" s="178"/>
      <c r="F72" s="178"/>
      <c r="G72" s="178"/>
      <c r="H72" s="178"/>
      <c r="I72" s="178"/>
      <c r="J72" s="178"/>
      <c r="K72" s="178"/>
      <c r="L72" s="54"/>
      <c r="M72" s="54"/>
      <c r="N72" s="54"/>
      <c r="O72" s="54"/>
      <c r="P72" s="44"/>
      <c r="Q72" s="44"/>
      <c r="R72" s="44"/>
    </row>
    <row r="73" spans="2:18" outlineLevel="1" x14ac:dyDescent="0.3">
      <c r="B73" s="112" t="s">
        <v>325</v>
      </c>
      <c r="C73" s="44"/>
      <c r="D73" s="44"/>
      <c r="E73" s="178">
        <f t="shared" ref="E73:K73" si="40">E71-E69</f>
        <v>80</v>
      </c>
      <c r="F73" s="178">
        <f t="shared" si="40"/>
        <v>70</v>
      </c>
      <c r="G73" s="178">
        <f t="shared" si="40"/>
        <v>40</v>
      </c>
      <c r="H73" s="178">
        <f t="shared" si="40"/>
        <v>30</v>
      </c>
      <c r="I73" s="178">
        <f t="shared" si="40"/>
        <v>10</v>
      </c>
      <c r="J73" s="178">
        <f t="shared" si="40"/>
        <v>0</v>
      </c>
      <c r="K73" s="178">
        <f t="shared" si="40"/>
        <v>0</v>
      </c>
      <c r="L73" s="54"/>
      <c r="M73" s="54" t="s">
        <v>314</v>
      </c>
      <c r="N73" s="54"/>
      <c r="O73" s="54"/>
      <c r="P73" s="44"/>
      <c r="Q73" s="44"/>
      <c r="R73" s="44"/>
    </row>
    <row r="74" spans="2:18" outlineLevel="1" x14ac:dyDescent="0.3">
      <c r="B74" s="112" t="s">
        <v>324</v>
      </c>
      <c r="C74" s="44"/>
      <c r="D74" s="44"/>
      <c r="E74" s="180"/>
      <c r="F74" s="178">
        <f t="shared" ref="F74:K74" si="41">E73-F73+F68</f>
        <v>10</v>
      </c>
      <c r="G74" s="178">
        <f t="shared" si="41"/>
        <v>30</v>
      </c>
      <c r="H74" s="178">
        <f t="shared" si="41"/>
        <v>10</v>
      </c>
      <c r="I74" s="178">
        <f t="shared" si="41"/>
        <v>20</v>
      </c>
      <c r="J74" s="178">
        <f t="shared" si="41"/>
        <v>10</v>
      </c>
      <c r="K74" s="178">
        <f t="shared" si="41"/>
        <v>0</v>
      </c>
      <c r="L74" s="54"/>
      <c r="M74" s="54" t="s">
        <v>315</v>
      </c>
      <c r="N74" s="54"/>
      <c r="O74" s="54"/>
      <c r="P74" s="44"/>
      <c r="Q74" s="44"/>
      <c r="R74" s="44"/>
    </row>
    <row r="75" spans="2:18" outlineLevel="1" x14ac:dyDescent="0.3">
      <c r="B75" s="112" t="s">
        <v>51</v>
      </c>
      <c r="C75" s="44"/>
      <c r="D75" s="44"/>
      <c r="E75" s="189"/>
      <c r="F75" s="74">
        <f>-F76/((E73+F73)/2)</f>
        <v>5.3333333333333337E-2</v>
      </c>
      <c r="G75" s="124">
        <v>0.05</v>
      </c>
      <c r="H75" s="124">
        <v>0.05</v>
      </c>
      <c r="I75" s="124">
        <v>0.05</v>
      </c>
      <c r="J75" s="124">
        <v>0.05</v>
      </c>
      <c r="K75" s="124">
        <v>0.05</v>
      </c>
      <c r="L75" s="54"/>
      <c r="M75" s="44" t="s">
        <v>59</v>
      </c>
      <c r="N75" s="54"/>
      <c r="O75" s="54"/>
      <c r="P75" s="44"/>
      <c r="Q75" s="44"/>
      <c r="R75" s="44"/>
    </row>
    <row r="76" spans="2:18" outlineLevel="1" x14ac:dyDescent="0.3">
      <c r="B76" s="113" t="s">
        <v>320</v>
      </c>
      <c r="C76" s="46"/>
      <c r="D76" s="46"/>
      <c r="E76" s="159">
        <f>'1. Realisatie RR en BS'!E26</f>
        <v>-4</v>
      </c>
      <c r="F76" s="159">
        <f>'1. Realisatie RR en BS'!F26</f>
        <v>-4</v>
      </c>
      <c r="G76" s="146">
        <f>G75*-(F73+G73)/2</f>
        <v>-2.75</v>
      </c>
      <c r="H76" s="146">
        <f>H75*-(G73+H73)/2</f>
        <v>-1.75</v>
      </c>
      <c r="I76" s="146">
        <f>I75*-(H73+I73)/2</f>
        <v>-1</v>
      </c>
      <c r="J76" s="146">
        <f>J75*-(I73+J73)/2</f>
        <v>-0.25</v>
      </c>
      <c r="K76" s="146">
        <f>K75*-(J73+K73)/2</f>
        <v>0</v>
      </c>
      <c r="L76" s="60"/>
      <c r="M76" s="44"/>
      <c r="N76" s="44"/>
      <c r="O76" s="44"/>
      <c r="P76" s="44"/>
      <c r="Q76" s="44"/>
      <c r="R76" s="44"/>
    </row>
    <row r="77" spans="2:18" outlineLevel="1" x14ac:dyDescent="0.3">
      <c r="B77" s="44"/>
      <c r="C77" s="44"/>
      <c r="D77" s="44"/>
      <c r="E77" s="137"/>
      <c r="F77" s="137"/>
      <c r="G77" s="141"/>
      <c r="H77" s="141"/>
      <c r="I77" s="141"/>
      <c r="J77" s="141"/>
      <c r="K77" s="141"/>
      <c r="L77" s="54"/>
      <c r="M77" s="54"/>
      <c r="N77" s="54"/>
      <c r="O77" s="54"/>
      <c r="P77" s="44"/>
      <c r="Q77" s="44"/>
      <c r="R77" s="44"/>
    </row>
    <row r="78" spans="2:18" outlineLevel="1" x14ac:dyDescent="0.3">
      <c r="B78" s="114" t="s">
        <v>321</v>
      </c>
      <c r="C78" s="52"/>
      <c r="D78" s="52"/>
      <c r="E78" s="135"/>
      <c r="F78" s="135"/>
      <c r="G78" s="135"/>
      <c r="H78" s="135"/>
      <c r="I78" s="135"/>
      <c r="J78" s="135"/>
      <c r="K78" s="135"/>
      <c r="L78" s="54"/>
      <c r="M78" s="54"/>
      <c r="N78" s="54"/>
      <c r="O78" s="54"/>
      <c r="P78" s="44"/>
      <c r="Q78" s="44"/>
      <c r="R78" s="44"/>
    </row>
    <row r="79" spans="2:18" outlineLevel="1" x14ac:dyDescent="0.3">
      <c r="B79" s="112" t="s">
        <v>60</v>
      </c>
      <c r="C79" s="52"/>
      <c r="D79" s="52"/>
      <c r="E79" s="180"/>
      <c r="F79" s="180"/>
      <c r="G79" s="178">
        <f t="shared" ref="G79:H79" si="42">F83</f>
        <v>0</v>
      </c>
      <c r="H79" s="178">
        <f t="shared" si="42"/>
        <v>0</v>
      </c>
      <c r="I79" s="178">
        <f t="shared" ref="I79" si="43">H83</f>
        <v>80</v>
      </c>
      <c r="J79" s="178">
        <f t="shared" ref="J79" si="44">I83</f>
        <v>60</v>
      </c>
      <c r="K79" s="178">
        <f t="shared" ref="K79" si="45">J83</f>
        <v>40</v>
      </c>
      <c r="L79" s="54"/>
      <c r="M79" s="54"/>
      <c r="N79" s="54"/>
      <c r="O79" s="54"/>
      <c r="P79" s="44"/>
      <c r="Q79" s="44"/>
      <c r="R79" s="44"/>
    </row>
    <row r="80" spans="2:18" outlineLevel="1" x14ac:dyDescent="0.3">
      <c r="B80" s="112" t="s">
        <v>207</v>
      </c>
      <c r="C80" s="52"/>
      <c r="D80" s="52"/>
      <c r="E80" s="180"/>
      <c r="F80" s="180"/>
      <c r="G80" s="179">
        <v>10</v>
      </c>
      <c r="H80" s="179">
        <v>100</v>
      </c>
      <c r="I80" s="179"/>
      <c r="J80" s="179">
        <v>20</v>
      </c>
      <c r="K80" s="179"/>
      <c r="L80" s="54"/>
      <c r="M80" s="54" t="s">
        <v>322</v>
      </c>
      <c r="N80" s="54"/>
      <c r="O80" s="54"/>
      <c r="P80" s="44"/>
      <c r="Q80" s="44"/>
      <c r="R80" s="44"/>
    </row>
    <row r="81" spans="2:18" outlineLevel="1" x14ac:dyDescent="0.3">
      <c r="B81" s="112" t="s">
        <v>205</v>
      </c>
      <c r="C81" s="44"/>
      <c r="D81" s="44"/>
      <c r="E81" s="190"/>
      <c r="F81" s="190"/>
      <c r="G81" s="179">
        <v>-10</v>
      </c>
      <c r="H81" s="179">
        <v>-20</v>
      </c>
      <c r="I81" s="179">
        <v>-20</v>
      </c>
      <c r="J81" s="179">
        <v>-30</v>
      </c>
      <c r="K81" s="179">
        <v>-20</v>
      </c>
      <c r="L81" s="54"/>
      <c r="M81" s="54" t="s">
        <v>206</v>
      </c>
      <c r="N81" s="54"/>
      <c r="O81" s="54"/>
      <c r="P81" s="44"/>
      <c r="Q81" s="44"/>
      <c r="R81" s="44"/>
    </row>
    <row r="82" spans="2:18" outlineLevel="1" x14ac:dyDescent="0.3">
      <c r="B82" s="112" t="s">
        <v>200</v>
      </c>
      <c r="C82" s="44"/>
      <c r="D82" s="44"/>
      <c r="E82" s="180"/>
      <c r="F82" s="180"/>
      <c r="G82" s="179"/>
      <c r="H82" s="179"/>
      <c r="I82" s="179"/>
      <c r="J82" s="179">
        <v>-10</v>
      </c>
      <c r="K82" s="179"/>
      <c r="L82" s="54"/>
      <c r="M82" s="54" t="s">
        <v>310</v>
      </c>
      <c r="N82" s="54"/>
      <c r="O82" s="54"/>
      <c r="P82" s="44"/>
      <c r="Q82" s="44"/>
      <c r="R82" s="44"/>
    </row>
    <row r="83" spans="2:18" s="2" customFormat="1" outlineLevel="1" x14ac:dyDescent="0.3">
      <c r="B83" s="113" t="s">
        <v>25</v>
      </c>
      <c r="C83" s="46"/>
      <c r="D83" s="46"/>
      <c r="E83" s="191"/>
      <c r="F83" s="192"/>
      <c r="G83" s="183">
        <f t="shared" ref="G83:K83" si="46">SUM(G79:G82)</f>
        <v>0</v>
      </c>
      <c r="H83" s="183">
        <f t="shared" si="46"/>
        <v>80</v>
      </c>
      <c r="I83" s="183">
        <f t="shared" si="46"/>
        <v>60</v>
      </c>
      <c r="J83" s="183">
        <f t="shared" si="46"/>
        <v>40</v>
      </c>
      <c r="K83" s="183">
        <f t="shared" si="46"/>
        <v>20</v>
      </c>
      <c r="L83" s="55"/>
      <c r="M83" s="44"/>
      <c r="N83" s="55"/>
      <c r="O83" s="55"/>
      <c r="P83" s="46"/>
      <c r="Q83" s="46"/>
      <c r="R83" s="46"/>
    </row>
    <row r="84" spans="2:18" outlineLevel="1" x14ac:dyDescent="0.3">
      <c r="B84" s="44"/>
      <c r="C84" s="44"/>
      <c r="D84" s="44"/>
      <c r="E84" s="178"/>
      <c r="F84" s="178"/>
      <c r="G84" s="178"/>
      <c r="H84" s="178"/>
      <c r="I84" s="178"/>
      <c r="J84" s="178"/>
      <c r="K84" s="178"/>
      <c r="L84" s="54"/>
      <c r="M84" s="54"/>
      <c r="N84" s="54"/>
      <c r="O84" s="54"/>
      <c r="P84" s="44"/>
      <c r="Q84" s="44"/>
      <c r="R84" s="44"/>
    </row>
    <row r="85" spans="2:18" outlineLevel="1" x14ac:dyDescent="0.3">
      <c r="B85" s="112" t="s">
        <v>325</v>
      </c>
      <c r="C85" s="44"/>
      <c r="D85" s="44"/>
      <c r="E85" s="180"/>
      <c r="F85" s="180"/>
      <c r="G85" s="178">
        <f>G83-G81</f>
        <v>10</v>
      </c>
      <c r="H85" s="178">
        <f>H83-H81</f>
        <v>100</v>
      </c>
      <c r="I85" s="178">
        <f>I83-I81</f>
        <v>80</v>
      </c>
      <c r="J85" s="178">
        <f>J83-J81</f>
        <v>70</v>
      </c>
      <c r="K85" s="178">
        <f>K83-K81</f>
        <v>40</v>
      </c>
      <c r="L85" s="54"/>
      <c r="M85" s="54" t="s">
        <v>314</v>
      </c>
      <c r="N85" s="54"/>
      <c r="O85" s="54"/>
      <c r="P85" s="44"/>
      <c r="Q85" s="44"/>
      <c r="R85" s="44"/>
    </row>
    <row r="86" spans="2:18" outlineLevel="1" x14ac:dyDescent="0.3">
      <c r="B86" s="112" t="s">
        <v>324</v>
      </c>
      <c r="C86" s="44"/>
      <c r="D86" s="44"/>
      <c r="E86" s="180"/>
      <c r="F86" s="180"/>
      <c r="G86" s="178">
        <f>F85-G85+G80</f>
        <v>0</v>
      </c>
      <c r="H86" s="178">
        <f t="shared" ref="H86:K86" si="47">G85-H85+H80</f>
        <v>10</v>
      </c>
      <c r="I86" s="178">
        <f t="shared" si="47"/>
        <v>20</v>
      </c>
      <c r="J86" s="178">
        <f t="shared" si="47"/>
        <v>30</v>
      </c>
      <c r="K86" s="178">
        <f t="shared" si="47"/>
        <v>30</v>
      </c>
      <c r="L86" s="54"/>
      <c r="M86" s="54" t="s">
        <v>315</v>
      </c>
      <c r="N86" s="54"/>
      <c r="O86" s="54"/>
      <c r="P86" s="44"/>
      <c r="Q86" s="44"/>
      <c r="R86" s="44"/>
    </row>
    <row r="87" spans="2:18" outlineLevel="1" x14ac:dyDescent="0.3">
      <c r="B87" s="112" t="s">
        <v>51</v>
      </c>
      <c r="C87" s="44"/>
      <c r="D87" s="44"/>
      <c r="E87" s="189"/>
      <c r="F87" s="189"/>
      <c r="G87" s="124">
        <v>0.03</v>
      </c>
      <c r="H87" s="124">
        <v>0.03</v>
      </c>
      <c r="I87" s="124">
        <v>0.03</v>
      </c>
      <c r="J87" s="124">
        <v>2.5000000000000001E-2</v>
      </c>
      <c r="K87" s="124">
        <v>2.5000000000000001E-2</v>
      </c>
      <c r="L87" s="54"/>
      <c r="M87" s="44" t="s">
        <v>59</v>
      </c>
      <c r="N87" s="54"/>
      <c r="O87" s="54"/>
      <c r="P87" s="44"/>
      <c r="Q87" s="44"/>
      <c r="R87" s="44"/>
    </row>
    <row r="88" spans="2:18" outlineLevel="1" x14ac:dyDescent="0.3">
      <c r="B88" s="113" t="s">
        <v>320</v>
      </c>
      <c r="C88" s="46"/>
      <c r="D88" s="46"/>
      <c r="E88" s="176"/>
      <c r="F88" s="176"/>
      <c r="G88" s="146">
        <f>G87*-(F85+G85)/2</f>
        <v>-0.15</v>
      </c>
      <c r="H88" s="146">
        <f>H87*-(G85+H85)/2</f>
        <v>-1.65</v>
      </c>
      <c r="I88" s="146">
        <f>I87*-(H85+I85)/2</f>
        <v>-2.6999999999999997</v>
      </c>
      <c r="J88" s="146">
        <f>J87*-(I85+J85)/2</f>
        <v>-1.875</v>
      </c>
      <c r="K88" s="146">
        <f>K87*-(J85+K85)/2</f>
        <v>-1.375</v>
      </c>
      <c r="L88" s="60"/>
      <c r="M88" s="44"/>
      <c r="N88" s="44"/>
      <c r="O88" s="44"/>
      <c r="P88" s="44"/>
      <c r="Q88" s="44"/>
      <c r="R88" s="44"/>
    </row>
    <row r="89" spans="2:18" outlineLevel="1" x14ac:dyDescent="0.3">
      <c r="B89" s="44"/>
      <c r="C89" s="44"/>
      <c r="D89" s="44"/>
      <c r="E89" s="137"/>
      <c r="F89" s="137"/>
      <c r="G89" s="141"/>
      <c r="H89" s="141"/>
      <c r="I89" s="141"/>
      <c r="J89" s="141"/>
      <c r="K89" s="141"/>
      <c r="L89" s="54"/>
      <c r="M89" s="54"/>
      <c r="N89" s="54"/>
      <c r="O89" s="54"/>
      <c r="P89" s="44"/>
      <c r="Q89" s="44"/>
      <c r="R89" s="44"/>
    </row>
    <row r="90" spans="2:18" outlineLevel="1" x14ac:dyDescent="0.3">
      <c r="B90" s="114" t="s">
        <v>323</v>
      </c>
      <c r="C90" s="52"/>
      <c r="D90" s="52"/>
      <c r="E90" s="135"/>
      <c r="F90" s="135"/>
      <c r="G90" s="135"/>
      <c r="H90" s="135"/>
      <c r="I90" s="135"/>
      <c r="J90" s="135"/>
      <c r="K90" s="135"/>
      <c r="L90" s="54"/>
      <c r="M90" s="54" t="s">
        <v>326</v>
      </c>
      <c r="N90" s="54"/>
      <c r="O90" s="54"/>
      <c r="P90" s="44"/>
      <c r="Q90" s="44"/>
      <c r="R90" s="44"/>
    </row>
    <row r="91" spans="2:18" outlineLevel="1" x14ac:dyDescent="0.3">
      <c r="B91" s="112" t="s">
        <v>60</v>
      </c>
      <c r="C91" s="52"/>
      <c r="D91" s="52"/>
      <c r="E91" s="184">
        <f>E67+E79</f>
        <v>80</v>
      </c>
      <c r="F91" s="184">
        <f t="shared" ref="F91:K91" si="48">F67+F79</f>
        <v>70</v>
      </c>
      <c r="G91" s="184">
        <f t="shared" si="48"/>
        <v>60</v>
      </c>
      <c r="H91" s="184">
        <f t="shared" si="48"/>
        <v>30</v>
      </c>
      <c r="I91" s="184">
        <f t="shared" si="48"/>
        <v>90</v>
      </c>
      <c r="J91" s="184">
        <f t="shared" si="48"/>
        <v>60</v>
      </c>
      <c r="K91" s="184">
        <f t="shared" si="48"/>
        <v>40</v>
      </c>
      <c r="L91" s="54"/>
      <c r="M91" s="54"/>
      <c r="N91" s="54"/>
      <c r="O91" s="54"/>
      <c r="P91" s="44"/>
      <c r="Q91" s="44"/>
      <c r="R91" s="44"/>
    </row>
    <row r="92" spans="2:18" outlineLevel="1" x14ac:dyDescent="0.3">
      <c r="B92" s="112" t="s">
        <v>207</v>
      </c>
      <c r="C92" s="52"/>
      <c r="D92" s="52"/>
      <c r="E92" s="184">
        <f t="shared" ref="E92:K92" si="49">E68+E80</f>
        <v>10</v>
      </c>
      <c r="F92" s="184">
        <f t="shared" si="49"/>
        <v>0</v>
      </c>
      <c r="G92" s="184">
        <f t="shared" si="49"/>
        <v>10</v>
      </c>
      <c r="H92" s="184">
        <f t="shared" si="49"/>
        <v>100</v>
      </c>
      <c r="I92" s="184">
        <f t="shared" si="49"/>
        <v>0</v>
      </c>
      <c r="J92" s="184">
        <f t="shared" si="49"/>
        <v>20</v>
      </c>
      <c r="K92" s="184">
        <f t="shared" si="49"/>
        <v>0</v>
      </c>
      <c r="L92" s="54"/>
      <c r="M92" s="54" t="s">
        <v>23</v>
      </c>
      <c r="N92" s="54"/>
      <c r="O92" s="54"/>
      <c r="P92" s="44"/>
      <c r="Q92" s="44"/>
      <c r="R92" s="44"/>
    </row>
    <row r="93" spans="2:18" outlineLevel="1" x14ac:dyDescent="0.3">
      <c r="B93" s="112" t="s">
        <v>205</v>
      </c>
      <c r="C93" s="44"/>
      <c r="D93" s="44"/>
      <c r="E93" s="184">
        <f t="shared" ref="E93:K93" si="50">E69+E81</f>
        <v>-10</v>
      </c>
      <c r="F93" s="184">
        <f t="shared" si="50"/>
        <v>-10</v>
      </c>
      <c r="G93" s="184">
        <f t="shared" si="50"/>
        <v>-20</v>
      </c>
      <c r="H93" s="184">
        <f t="shared" si="50"/>
        <v>-40</v>
      </c>
      <c r="I93" s="184">
        <f t="shared" si="50"/>
        <v>-30</v>
      </c>
      <c r="J93" s="184">
        <f t="shared" si="50"/>
        <v>-30</v>
      </c>
      <c r="K93" s="184">
        <f t="shared" si="50"/>
        <v>-20</v>
      </c>
      <c r="L93" s="54"/>
      <c r="M93" s="54" t="s">
        <v>327</v>
      </c>
      <c r="N93" s="54"/>
      <c r="O93" s="54"/>
      <c r="P93" s="44"/>
      <c r="Q93" s="44"/>
      <c r="R93" s="44"/>
    </row>
    <row r="94" spans="2:18" outlineLevel="1" x14ac:dyDescent="0.3">
      <c r="B94" s="112" t="s">
        <v>200</v>
      </c>
      <c r="C94" s="44"/>
      <c r="D94" s="44"/>
      <c r="E94" s="184">
        <f t="shared" ref="E94:K94" si="51">E70+E82</f>
        <v>-10</v>
      </c>
      <c r="F94" s="184">
        <f t="shared" si="51"/>
        <v>0</v>
      </c>
      <c r="G94" s="184">
        <f t="shared" si="51"/>
        <v>-20</v>
      </c>
      <c r="H94" s="184">
        <f t="shared" si="51"/>
        <v>0</v>
      </c>
      <c r="I94" s="184">
        <f t="shared" si="51"/>
        <v>0</v>
      </c>
      <c r="J94" s="184">
        <f t="shared" si="51"/>
        <v>-10</v>
      </c>
      <c r="K94" s="184">
        <f t="shared" si="51"/>
        <v>0</v>
      </c>
      <c r="L94" s="54"/>
      <c r="M94" s="54" t="s">
        <v>310</v>
      </c>
      <c r="N94" s="54"/>
      <c r="O94" s="54"/>
      <c r="P94" s="44"/>
      <c r="Q94" s="44"/>
      <c r="R94" s="44"/>
    </row>
    <row r="95" spans="2:18" s="2" customFormat="1" outlineLevel="1" x14ac:dyDescent="0.3">
      <c r="B95" s="113" t="s">
        <v>25</v>
      </c>
      <c r="C95" s="46"/>
      <c r="D95" s="46"/>
      <c r="E95" s="185">
        <f t="shared" ref="E95:K95" si="52">SUM(E91:E94)</f>
        <v>70</v>
      </c>
      <c r="F95" s="185">
        <f t="shared" si="52"/>
        <v>60</v>
      </c>
      <c r="G95" s="185">
        <f t="shared" si="52"/>
        <v>30</v>
      </c>
      <c r="H95" s="185">
        <f t="shared" si="52"/>
        <v>90</v>
      </c>
      <c r="I95" s="185">
        <f t="shared" si="52"/>
        <v>60</v>
      </c>
      <c r="J95" s="185">
        <f t="shared" si="52"/>
        <v>40</v>
      </c>
      <c r="K95" s="185">
        <f t="shared" si="52"/>
        <v>20</v>
      </c>
      <c r="L95" s="55"/>
      <c r="M95" s="44" t="s">
        <v>52</v>
      </c>
      <c r="N95" s="55"/>
      <c r="O95" s="55"/>
      <c r="P95" s="46"/>
      <c r="Q95" s="46"/>
      <c r="R95" s="46"/>
    </row>
    <row r="96" spans="2:18" s="3" customFormat="1" outlineLevel="1" x14ac:dyDescent="0.3">
      <c r="B96" s="117" t="s">
        <v>18</v>
      </c>
      <c r="C96" s="52"/>
      <c r="D96" s="52"/>
      <c r="E96" s="186"/>
      <c r="F96" s="187">
        <f>'1. Realisatie RR en BS'!F53</f>
        <v>60</v>
      </c>
      <c r="G96" s="186"/>
      <c r="H96" s="186"/>
      <c r="I96" s="186"/>
      <c r="J96" s="186"/>
      <c r="K96" s="186"/>
      <c r="L96" s="105"/>
      <c r="M96" s="110" t="s">
        <v>50</v>
      </c>
      <c r="N96" s="105"/>
      <c r="O96" s="105"/>
      <c r="P96" s="52"/>
      <c r="Q96" s="52"/>
      <c r="R96" s="52"/>
    </row>
    <row r="97" spans="2:18" outlineLevel="1" x14ac:dyDescent="0.3">
      <c r="B97" s="44"/>
      <c r="C97" s="44"/>
      <c r="D97" s="44"/>
      <c r="E97" s="178"/>
      <c r="F97" s="178"/>
      <c r="G97" s="178"/>
      <c r="H97" s="178"/>
      <c r="I97" s="178"/>
      <c r="J97" s="178"/>
      <c r="K97" s="178"/>
      <c r="L97" s="54"/>
      <c r="M97" s="54"/>
      <c r="N97" s="54"/>
      <c r="O97" s="54"/>
      <c r="P97" s="44"/>
      <c r="Q97" s="44"/>
      <c r="R97" s="44"/>
    </row>
    <row r="98" spans="2:18" outlineLevel="1" x14ac:dyDescent="0.3">
      <c r="B98" s="112" t="s">
        <v>325</v>
      </c>
      <c r="C98" s="44"/>
      <c r="D98" s="44"/>
      <c r="E98" s="137">
        <f t="shared" ref="E98:K98" si="53">E73+E85</f>
        <v>80</v>
      </c>
      <c r="F98" s="137">
        <f t="shared" si="53"/>
        <v>70</v>
      </c>
      <c r="G98" s="137">
        <f t="shared" si="53"/>
        <v>50</v>
      </c>
      <c r="H98" s="137">
        <f t="shared" si="53"/>
        <v>130</v>
      </c>
      <c r="I98" s="137">
        <f t="shared" si="53"/>
        <v>90</v>
      </c>
      <c r="J98" s="137">
        <f t="shared" si="53"/>
        <v>70</v>
      </c>
      <c r="K98" s="137">
        <f t="shared" si="53"/>
        <v>40</v>
      </c>
      <c r="L98" s="60"/>
      <c r="M98" s="44"/>
      <c r="N98" s="54"/>
      <c r="O98" s="54"/>
      <c r="P98" s="44"/>
      <c r="Q98" s="44"/>
      <c r="R98" s="44"/>
    </row>
    <row r="99" spans="2:18" outlineLevel="1" x14ac:dyDescent="0.3">
      <c r="B99" s="113" t="s">
        <v>208</v>
      </c>
      <c r="C99" s="44"/>
      <c r="D99" s="44"/>
      <c r="E99" s="177"/>
      <c r="F99" s="138">
        <f t="shared" ref="F99:K99" si="54">F74+F86</f>
        <v>10</v>
      </c>
      <c r="G99" s="138">
        <f t="shared" si="54"/>
        <v>30</v>
      </c>
      <c r="H99" s="138">
        <f t="shared" si="54"/>
        <v>20</v>
      </c>
      <c r="I99" s="138">
        <f t="shared" si="54"/>
        <v>40</v>
      </c>
      <c r="J99" s="138">
        <f t="shared" si="54"/>
        <v>40</v>
      </c>
      <c r="K99" s="138">
        <f t="shared" si="54"/>
        <v>30</v>
      </c>
      <c r="L99" s="60"/>
      <c r="M99" s="44" t="s">
        <v>23</v>
      </c>
      <c r="N99" s="54"/>
      <c r="O99" s="54"/>
      <c r="P99" s="44"/>
      <c r="Q99" s="44"/>
      <c r="R99" s="44"/>
    </row>
    <row r="100" spans="2:18" outlineLevel="1" x14ac:dyDescent="0.3">
      <c r="B100" s="112" t="s">
        <v>250</v>
      </c>
      <c r="C100" s="44"/>
      <c r="D100" s="44"/>
      <c r="E100" s="174"/>
      <c r="F100" s="137">
        <f t="shared" ref="F100:K100" si="55">F99+F94</f>
        <v>10</v>
      </c>
      <c r="G100" s="137">
        <f t="shared" si="55"/>
        <v>10</v>
      </c>
      <c r="H100" s="137">
        <f t="shared" si="55"/>
        <v>20</v>
      </c>
      <c r="I100" s="137">
        <f t="shared" si="55"/>
        <v>40</v>
      </c>
      <c r="J100" s="137">
        <f t="shared" si="55"/>
        <v>30</v>
      </c>
      <c r="K100" s="137">
        <f t="shared" si="55"/>
        <v>30</v>
      </c>
      <c r="L100" s="60"/>
      <c r="M100" s="44" t="s">
        <v>248</v>
      </c>
      <c r="N100" s="54"/>
      <c r="O100" s="54"/>
      <c r="P100" s="44"/>
      <c r="Q100" s="44"/>
      <c r="R100" s="44"/>
    </row>
    <row r="101" spans="2:18" outlineLevel="1" x14ac:dyDescent="0.3">
      <c r="B101" s="113"/>
      <c r="C101" s="44"/>
      <c r="D101" s="44"/>
      <c r="E101" s="138"/>
      <c r="F101" s="138"/>
      <c r="G101" s="138"/>
      <c r="H101" s="138"/>
      <c r="I101" s="138"/>
      <c r="J101" s="138"/>
      <c r="K101" s="138"/>
      <c r="L101" s="60"/>
      <c r="M101" s="44"/>
      <c r="N101" s="54"/>
      <c r="O101" s="54"/>
      <c r="P101" s="44"/>
      <c r="Q101" s="44"/>
      <c r="R101" s="44"/>
    </row>
    <row r="102" spans="2:18" outlineLevel="1" x14ac:dyDescent="0.3">
      <c r="B102" s="112" t="s">
        <v>51</v>
      </c>
      <c r="C102" s="44"/>
      <c r="D102" s="44"/>
      <c r="E102" s="189"/>
      <c r="F102" s="74">
        <f t="shared" ref="F102:K102" si="56">-F103/((F98+E98)/2)</f>
        <v>5.3333333333333337E-2</v>
      </c>
      <c r="G102" s="74">
        <f t="shared" si="56"/>
        <v>4.8333333333333332E-2</v>
      </c>
      <c r="H102" s="74">
        <f t="shared" si="56"/>
        <v>3.7777777777777778E-2</v>
      </c>
      <c r="I102" s="74">
        <f t="shared" si="56"/>
        <v>3.3636363636363631E-2</v>
      </c>
      <c r="J102" s="74">
        <f t="shared" si="56"/>
        <v>2.6562499999999999E-2</v>
      </c>
      <c r="K102" s="74">
        <f t="shared" si="56"/>
        <v>2.5000000000000001E-2</v>
      </c>
      <c r="L102" s="54"/>
      <c r="M102" s="44" t="s">
        <v>59</v>
      </c>
      <c r="N102" s="54"/>
      <c r="O102" s="54"/>
      <c r="P102" s="44"/>
      <c r="Q102" s="44"/>
      <c r="R102" s="44"/>
    </row>
    <row r="103" spans="2:18" outlineLevel="1" x14ac:dyDescent="0.3">
      <c r="B103" s="113" t="s">
        <v>328</v>
      </c>
      <c r="C103" s="46"/>
      <c r="D103" s="46"/>
      <c r="E103" s="138">
        <f>E76+E88</f>
        <v>-4</v>
      </c>
      <c r="F103" s="138">
        <f t="shared" ref="F103:K103" si="57">F76+F88</f>
        <v>-4</v>
      </c>
      <c r="G103" s="138">
        <f t="shared" si="57"/>
        <v>-2.9</v>
      </c>
      <c r="H103" s="138">
        <f t="shared" si="57"/>
        <v>-3.4</v>
      </c>
      <c r="I103" s="138">
        <f t="shared" si="57"/>
        <v>-3.6999999999999997</v>
      </c>
      <c r="J103" s="138">
        <f t="shared" si="57"/>
        <v>-2.125</v>
      </c>
      <c r="K103" s="138">
        <f t="shared" si="57"/>
        <v>-1.375</v>
      </c>
      <c r="L103" s="60"/>
      <c r="M103" s="44" t="s">
        <v>201</v>
      </c>
      <c r="N103" s="44"/>
      <c r="O103" s="44"/>
      <c r="P103" s="44"/>
      <c r="Q103" s="44"/>
      <c r="R103" s="44"/>
    </row>
    <row r="104" spans="2:18" outlineLevel="1" x14ac:dyDescent="0.3">
      <c r="B104" s="44"/>
      <c r="C104" s="44"/>
      <c r="D104" s="44"/>
      <c r="E104" s="137"/>
      <c r="F104" s="137"/>
      <c r="G104" s="141"/>
      <c r="H104" s="141"/>
      <c r="I104" s="141"/>
      <c r="J104" s="141"/>
      <c r="K104" s="141"/>
      <c r="L104" s="54"/>
      <c r="M104" s="54"/>
      <c r="N104" s="54"/>
      <c r="O104" s="54"/>
      <c r="P104" s="44"/>
      <c r="Q104" s="44"/>
      <c r="R104" s="44"/>
    </row>
    <row r="105" spans="2:18" x14ac:dyDescent="0.3">
      <c r="B105" s="46"/>
      <c r="C105" s="44"/>
      <c r="D105" s="44"/>
      <c r="E105" s="188"/>
      <c r="F105" s="188"/>
      <c r="G105" s="146"/>
      <c r="H105" s="146"/>
      <c r="I105" s="146"/>
      <c r="J105" s="146"/>
      <c r="K105" s="146"/>
      <c r="L105" s="60"/>
      <c r="M105" s="44"/>
      <c r="N105" s="44"/>
      <c r="O105" s="44"/>
      <c r="P105" s="44"/>
      <c r="Q105" s="44"/>
      <c r="R105" s="44"/>
    </row>
    <row r="106" spans="2:18" s="2" customFormat="1" x14ac:dyDescent="0.3">
      <c r="B106" s="131" t="s">
        <v>78</v>
      </c>
      <c r="C106" s="132"/>
      <c r="D106" s="131"/>
      <c r="E106" s="132" t="str">
        <f>E$5</f>
        <v>R 2024</v>
      </c>
      <c r="F106" s="132" t="str">
        <f t="shared" ref="F106:K106" si="58">F$5</f>
        <v>R 2025</v>
      </c>
      <c r="G106" s="132" t="str">
        <f t="shared" si="58"/>
        <v>P 2026</v>
      </c>
      <c r="H106" s="132" t="str">
        <f t="shared" si="58"/>
        <v>P 2027</v>
      </c>
      <c r="I106" s="132" t="str">
        <f t="shared" si="58"/>
        <v>P 2028</v>
      </c>
      <c r="J106" s="132" t="str">
        <f t="shared" si="58"/>
        <v>P 2029</v>
      </c>
      <c r="K106" s="132" t="str">
        <f t="shared" si="58"/>
        <v>P 2030</v>
      </c>
      <c r="L106" s="59"/>
      <c r="M106" s="59"/>
      <c r="N106" s="46"/>
      <c r="O106" s="46"/>
      <c r="P106" s="46"/>
      <c r="Q106" s="46"/>
      <c r="R106" s="46"/>
    </row>
    <row r="107" spans="2:18" hidden="1" outlineLevel="1" x14ac:dyDescent="0.3">
      <c r="B107" s="44"/>
      <c r="C107" s="44"/>
      <c r="D107" s="44"/>
      <c r="E107" s="44"/>
      <c r="F107" s="44"/>
      <c r="G107" s="44"/>
      <c r="H107" s="44"/>
      <c r="I107" s="44"/>
      <c r="J107" s="44"/>
      <c r="K107" s="44"/>
      <c r="L107" s="44"/>
      <c r="M107" s="44"/>
      <c r="N107" s="44"/>
      <c r="O107" s="44"/>
      <c r="P107" s="44"/>
      <c r="Q107" s="44"/>
      <c r="R107" s="44"/>
    </row>
    <row r="108" spans="2:18" hidden="1" outlineLevel="1" x14ac:dyDescent="0.3">
      <c r="B108" s="46" t="str">
        <f>Balans!B24</f>
        <v>Kortlopend deel LLS</v>
      </c>
      <c r="C108" s="44"/>
      <c r="D108" s="44"/>
      <c r="E108" s="138">
        <f>-E93</f>
        <v>10</v>
      </c>
      <c r="F108" s="138">
        <f t="shared" ref="F108:K108" si="59">-F93</f>
        <v>10</v>
      </c>
      <c r="G108" s="138">
        <f t="shared" si="59"/>
        <v>20</v>
      </c>
      <c r="H108" s="138">
        <f t="shared" si="59"/>
        <v>40</v>
      </c>
      <c r="I108" s="138">
        <f t="shared" si="59"/>
        <v>30</v>
      </c>
      <c r="J108" s="138">
        <f t="shared" si="59"/>
        <v>30</v>
      </c>
      <c r="K108" s="138">
        <f t="shared" si="59"/>
        <v>20</v>
      </c>
      <c r="L108" s="44"/>
      <c r="M108" s="44" t="s">
        <v>57</v>
      </c>
      <c r="N108" s="44"/>
      <c r="O108" s="44"/>
      <c r="P108" s="44"/>
      <c r="Q108" s="44"/>
      <c r="R108" s="44"/>
    </row>
    <row r="109" spans="2:18" hidden="1" outlineLevel="1" x14ac:dyDescent="0.3">
      <c r="B109" s="44"/>
      <c r="C109" s="44"/>
      <c r="D109" s="44"/>
      <c r="E109" s="137"/>
      <c r="F109" s="137"/>
      <c r="G109" s="137"/>
      <c r="H109" s="137"/>
      <c r="I109" s="137"/>
      <c r="J109" s="137"/>
      <c r="K109" s="137"/>
      <c r="L109" s="44"/>
      <c r="M109" s="44"/>
      <c r="N109" s="44"/>
      <c r="O109" s="44"/>
      <c r="P109" s="44"/>
      <c r="Q109" s="44"/>
      <c r="R109" s="44"/>
    </row>
    <row r="110" spans="2:18" hidden="1" outlineLevel="1" x14ac:dyDescent="0.3">
      <c r="B110" s="46" t="str">
        <f>Balans!B25</f>
        <v>Kortlopende schulden rentedragend</v>
      </c>
      <c r="C110" s="44"/>
      <c r="D110" s="44"/>
      <c r="E110" s="159">
        <f>'1. Realisatie RR en BS'!E56</f>
        <v>4</v>
      </c>
      <c r="F110" s="159">
        <f>'1. Realisatie RR en BS'!F56</f>
        <v>4</v>
      </c>
      <c r="G110" s="162">
        <v>0</v>
      </c>
      <c r="H110" s="162">
        <v>50</v>
      </c>
      <c r="I110" s="162">
        <v>25</v>
      </c>
      <c r="J110" s="162">
        <v>0</v>
      </c>
      <c r="K110" s="162">
        <v>0</v>
      </c>
      <c r="L110" s="60"/>
      <c r="M110" s="44" t="s">
        <v>184</v>
      </c>
      <c r="N110" s="44"/>
      <c r="O110" s="44"/>
      <c r="P110" s="44"/>
      <c r="Q110" s="44"/>
      <c r="R110" s="44"/>
    </row>
    <row r="111" spans="2:18" hidden="1" outlineLevel="1" x14ac:dyDescent="0.3">
      <c r="B111" s="44" t="s">
        <v>53</v>
      </c>
      <c r="C111" s="125">
        <v>7.0000000000000007E-2</v>
      </c>
      <c r="D111" s="44"/>
      <c r="E111" s="74"/>
      <c r="F111" s="74">
        <f>IFERROR(-F112/((E110+F110)/2),0%)</f>
        <v>0.5</v>
      </c>
      <c r="G111" s="74">
        <f>$C111</f>
        <v>7.0000000000000007E-2</v>
      </c>
      <c r="H111" s="74">
        <f t="shared" ref="H111:K111" si="60">$C111</f>
        <v>7.0000000000000007E-2</v>
      </c>
      <c r="I111" s="74">
        <f t="shared" si="60"/>
        <v>7.0000000000000007E-2</v>
      </c>
      <c r="J111" s="74">
        <f t="shared" si="60"/>
        <v>7.0000000000000007E-2</v>
      </c>
      <c r="K111" s="74">
        <f t="shared" si="60"/>
        <v>7.0000000000000007E-2</v>
      </c>
      <c r="L111" s="54"/>
      <c r="M111" s="54" t="s">
        <v>61</v>
      </c>
      <c r="N111" s="54"/>
      <c r="O111" s="54"/>
      <c r="P111" s="44"/>
      <c r="Q111" s="44"/>
      <c r="R111" s="44"/>
    </row>
    <row r="112" spans="2:18" hidden="1" outlineLevel="1" x14ac:dyDescent="0.3">
      <c r="B112" s="46" t="s">
        <v>185</v>
      </c>
      <c r="C112" s="44"/>
      <c r="D112" s="44"/>
      <c r="E112" s="159">
        <f>'1. Realisatie RR en BS'!E27</f>
        <v>-1</v>
      </c>
      <c r="F112" s="159">
        <f>'1. Realisatie RR en BS'!F27</f>
        <v>-2</v>
      </c>
      <c r="G112" s="138">
        <f>-G111*(F110+G110)/2</f>
        <v>-0.14000000000000001</v>
      </c>
      <c r="H112" s="138">
        <f>-H111*(G110+H110)/2</f>
        <v>-1.7500000000000002</v>
      </c>
      <c r="I112" s="138">
        <f>-I111*(H110+I110)/2</f>
        <v>-2.6250000000000004</v>
      </c>
      <c r="J112" s="138">
        <f>-J111*(I110+J110)/2</f>
        <v>-0.87500000000000011</v>
      </c>
      <c r="K112" s="138">
        <f>-K111*(J110+K110)/2</f>
        <v>0</v>
      </c>
      <c r="L112" s="60"/>
      <c r="M112" s="44" t="s">
        <v>56</v>
      </c>
      <c r="N112" s="44"/>
      <c r="O112" s="44"/>
      <c r="P112" s="44"/>
      <c r="Q112" s="44"/>
      <c r="R112" s="44"/>
    </row>
    <row r="113" spans="2:18" hidden="1" outlineLevel="1" x14ac:dyDescent="0.3">
      <c r="B113" s="46"/>
      <c r="C113" s="44"/>
      <c r="D113" s="44"/>
      <c r="E113" s="137"/>
      <c r="F113" s="137"/>
      <c r="G113" s="138"/>
      <c r="H113" s="138"/>
      <c r="I113" s="138"/>
      <c r="J113" s="138"/>
      <c r="K113" s="138"/>
      <c r="L113" s="60"/>
      <c r="M113" s="44"/>
      <c r="N113" s="44"/>
      <c r="O113" s="44"/>
      <c r="P113" s="44"/>
      <c r="Q113" s="44"/>
      <c r="R113" s="44"/>
    </row>
    <row r="114" spans="2:18" hidden="1" outlineLevel="1" x14ac:dyDescent="0.3">
      <c r="B114" s="44" t="s">
        <v>240</v>
      </c>
      <c r="C114" s="44"/>
      <c r="D114" s="44"/>
      <c r="E114" s="160">
        <f>'2. Prognose RR'!E41+'2. Prognose RR'!E36</f>
        <v>-165</v>
      </c>
      <c r="F114" s="160">
        <f>'2. Prognose RR'!F41+'2. Prognose RR'!F36</f>
        <v>-176</v>
      </c>
      <c r="G114" s="160">
        <f>'2. Prognose RR'!G41+'2. Prognose RR'!G36</f>
        <v>-179.77500000000001</v>
      </c>
      <c r="H114" s="160">
        <f>'2. Prognose RR'!H41+'2. Prognose RR'!H36</f>
        <v>-185.64637500000001</v>
      </c>
      <c r="I114" s="160">
        <f>'2. Prognose RR'!I41+'2. Prognose RR'!I36</f>
        <v>-191.68069499999999</v>
      </c>
      <c r="J114" s="160">
        <f>'2. Prognose RR'!J41+'2. Prognose RR'!J36</f>
        <v>-197.88212924999999</v>
      </c>
      <c r="K114" s="160">
        <f>'2. Prognose RR'!K41+'2. Prognose RR'!K36</f>
        <v>-201.83977183499999</v>
      </c>
      <c r="L114" s="60"/>
      <c r="M114" s="44" t="s">
        <v>293</v>
      </c>
      <c r="N114" s="44"/>
      <c r="O114" s="44"/>
      <c r="P114" s="44"/>
      <c r="Q114" s="44"/>
      <c r="R114" s="44"/>
    </row>
    <row r="115" spans="2:18" hidden="1" outlineLevel="1" x14ac:dyDescent="0.3">
      <c r="B115" s="44" t="s">
        <v>28</v>
      </c>
      <c r="C115" s="121">
        <v>45</v>
      </c>
      <c r="D115" s="44"/>
      <c r="E115" s="67">
        <f>E116/(-E114/365)</f>
        <v>88.484848484848484</v>
      </c>
      <c r="F115" s="67">
        <f>F116/(-F114/365)</f>
        <v>93.323863636363626</v>
      </c>
      <c r="G115" s="60">
        <f>$C115</f>
        <v>45</v>
      </c>
      <c r="H115" s="60">
        <f t="shared" ref="H115:K115" si="61">$C115</f>
        <v>45</v>
      </c>
      <c r="I115" s="60">
        <f t="shared" si="61"/>
        <v>45</v>
      </c>
      <c r="J115" s="60">
        <f t="shared" si="61"/>
        <v>45</v>
      </c>
      <c r="K115" s="60">
        <f t="shared" si="61"/>
        <v>45</v>
      </c>
      <c r="L115" s="44"/>
      <c r="M115" s="54" t="s">
        <v>42</v>
      </c>
      <c r="N115" s="44"/>
      <c r="O115" s="44"/>
      <c r="P115" s="44"/>
      <c r="Q115" s="44"/>
      <c r="R115" s="44"/>
    </row>
    <row r="116" spans="2:18" hidden="1" outlineLevel="1" x14ac:dyDescent="0.3">
      <c r="B116" s="46" t="str">
        <f>Balans!B26</f>
        <v>Crediteuren</v>
      </c>
      <c r="C116" s="44"/>
      <c r="D116" s="44"/>
      <c r="E116" s="159">
        <f>'1. Realisatie RR en BS'!E57</f>
        <v>40</v>
      </c>
      <c r="F116" s="159">
        <f>'1. Realisatie RR en BS'!F57</f>
        <v>45</v>
      </c>
      <c r="G116" s="138">
        <f>-G114/365*G115</f>
        <v>22.164041095890411</v>
      </c>
      <c r="H116" s="138">
        <f t="shared" ref="H116:K116" si="62">-H114/365*H115</f>
        <v>22.887909246575344</v>
      </c>
      <c r="I116" s="138">
        <f t="shared" si="62"/>
        <v>23.631866506849313</v>
      </c>
      <c r="J116" s="138">
        <f t="shared" si="62"/>
        <v>24.396426893835617</v>
      </c>
      <c r="K116" s="138">
        <f t="shared" si="62"/>
        <v>24.884355431712329</v>
      </c>
      <c r="L116" s="44"/>
      <c r="M116" s="44" t="s">
        <v>241</v>
      </c>
      <c r="N116" s="44"/>
      <c r="O116" s="44"/>
      <c r="P116" s="44"/>
      <c r="Q116" s="44"/>
      <c r="R116" s="44"/>
    </row>
    <row r="117" spans="2:18" hidden="1" outlineLevel="1" x14ac:dyDescent="0.3">
      <c r="B117" s="44"/>
      <c r="C117" s="44"/>
      <c r="D117" s="44"/>
      <c r="E117" s="137"/>
      <c r="F117" s="137"/>
      <c r="G117" s="137"/>
      <c r="H117" s="137"/>
      <c r="I117" s="137"/>
      <c r="J117" s="137"/>
      <c r="K117" s="137"/>
      <c r="L117" s="44"/>
      <c r="M117" s="44"/>
      <c r="N117" s="44"/>
      <c r="O117" s="44"/>
      <c r="P117" s="44"/>
      <c r="Q117" s="44"/>
      <c r="R117" s="44"/>
    </row>
    <row r="118" spans="2:18" hidden="1" outlineLevel="1" x14ac:dyDescent="0.3">
      <c r="B118" s="44" t="str">
        <f>'2. Prognose RR'!B11</f>
        <v>Opbrengsten (p*q) productgroep 1</v>
      </c>
      <c r="C118" s="44"/>
      <c r="D118" s="44"/>
      <c r="E118" s="160">
        <f>'2. Prognose RR'!E11</f>
        <v>500</v>
      </c>
      <c r="F118" s="160">
        <f>'2. Prognose RR'!F11</f>
        <v>525</v>
      </c>
      <c r="G118" s="160">
        <f>'2. Prognose RR'!G11</f>
        <v>535.5</v>
      </c>
      <c r="H118" s="160">
        <f>'2. Prognose RR'!H11</f>
        <v>591.72749999999996</v>
      </c>
      <c r="I118" s="160">
        <f>'2. Prognose RR'!I11</f>
        <v>649.98990000000003</v>
      </c>
      <c r="J118" s="160">
        <f>'2. Prognose RR'!J11</f>
        <v>710.34610499999997</v>
      </c>
      <c r="K118" s="160">
        <f>'2. Prognose RR'!K11</f>
        <v>724.55302710000001</v>
      </c>
      <c r="L118" s="60"/>
      <c r="M118" s="44" t="s">
        <v>292</v>
      </c>
      <c r="N118" s="44"/>
      <c r="O118" s="44"/>
      <c r="P118" s="44"/>
      <c r="Q118" s="44"/>
      <c r="R118" s="44"/>
    </row>
    <row r="119" spans="2:18" hidden="1" outlineLevel="1" x14ac:dyDescent="0.3">
      <c r="B119" s="44" t="s">
        <v>43</v>
      </c>
      <c r="C119" s="125">
        <v>0.03</v>
      </c>
      <c r="D119" s="44"/>
      <c r="E119" s="75">
        <f>E120/E118</f>
        <v>0.06</v>
      </c>
      <c r="F119" s="75">
        <f>F120/F118</f>
        <v>4.7619047619047616E-2</v>
      </c>
      <c r="G119" s="65">
        <f>$C119</f>
        <v>0.03</v>
      </c>
      <c r="H119" s="65">
        <f t="shared" ref="H119:K119" si="63">$C119</f>
        <v>0.03</v>
      </c>
      <c r="I119" s="65">
        <f t="shared" si="63"/>
        <v>0.03</v>
      </c>
      <c r="J119" s="65">
        <f t="shared" si="63"/>
        <v>0.03</v>
      </c>
      <c r="K119" s="109">
        <f t="shared" si="63"/>
        <v>0.03</v>
      </c>
      <c r="L119" s="44"/>
      <c r="M119" s="54" t="s">
        <v>186</v>
      </c>
      <c r="N119" s="44"/>
      <c r="O119" s="44"/>
      <c r="P119" s="44"/>
      <c r="Q119" s="44"/>
      <c r="R119" s="44"/>
    </row>
    <row r="120" spans="2:18" hidden="1" outlineLevel="1" x14ac:dyDescent="0.3">
      <c r="B120" s="46" t="str">
        <f>Balans!B27</f>
        <v>Overige kortlopende passiva</v>
      </c>
      <c r="C120" s="44"/>
      <c r="D120" s="44"/>
      <c r="E120" s="160">
        <f>'1. Realisatie RR en BS'!E58</f>
        <v>30</v>
      </c>
      <c r="F120" s="160">
        <f>'1. Realisatie RR en BS'!F58</f>
        <v>25</v>
      </c>
      <c r="G120" s="138">
        <f>G119*G118</f>
        <v>16.064999999999998</v>
      </c>
      <c r="H120" s="138">
        <f t="shared" ref="H120:K120" si="64">H119*H118</f>
        <v>17.751824999999997</v>
      </c>
      <c r="I120" s="138">
        <f t="shared" si="64"/>
        <v>19.499697000000001</v>
      </c>
      <c r="J120" s="138">
        <f t="shared" si="64"/>
        <v>21.31038315</v>
      </c>
      <c r="K120" s="138">
        <f t="shared" si="64"/>
        <v>21.736590812999999</v>
      </c>
      <c r="L120" s="44"/>
      <c r="M120" s="44" t="s">
        <v>183</v>
      </c>
      <c r="N120" s="44"/>
      <c r="O120" s="44"/>
      <c r="P120" s="44"/>
      <c r="Q120" s="44"/>
      <c r="R120" s="44"/>
    </row>
    <row r="121" spans="2:18" collapsed="1" x14ac:dyDescent="0.3">
      <c r="B121" s="44"/>
      <c r="C121" s="44"/>
      <c r="D121" s="44"/>
      <c r="E121" s="44"/>
      <c r="F121" s="44"/>
      <c r="G121" s="44"/>
      <c r="H121" s="44"/>
      <c r="I121" s="44"/>
      <c r="J121" s="44"/>
      <c r="K121" s="44"/>
      <c r="L121" s="44"/>
      <c r="M121" s="44"/>
      <c r="N121" s="44"/>
      <c r="O121" s="44"/>
      <c r="P121" s="44"/>
      <c r="Q121" s="44"/>
      <c r="R121" s="44"/>
    </row>
    <row r="122" spans="2:18" s="2" customFormat="1" x14ac:dyDescent="0.3">
      <c r="B122" s="131" t="s">
        <v>79</v>
      </c>
      <c r="C122" s="132"/>
      <c r="D122" s="131"/>
      <c r="E122" s="132" t="str">
        <f>E$5</f>
        <v>R 2024</v>
      </c>
      <c r="F122" s="132" t="str">
        <f t="shared" ref="F122:K122" si="65">F$5</f>
        <v>R 2025</v>
      </c>
      <c r="G122" s="132" t="str">
        <f t="shared" si="65"/>
        <v>P 2026</v>
      </c>
      <c r="H122" s="132" t="str">
        <f t="shared" si="65"/>
        <v>P 2027</v>
      </c>
      <c r="I122" s="132" t="str">
        <f t="shared" si="65"/>
        <v>P 2028</v>
      </c>
      <c r="J122" s="132" t="str">
        <f t="shared" si="65"/>
        <v>P 2029</v>
      </c>
      <c r="K122" s="132" t="str">
        <f t="shared" si="65"/>
        <v>P 2030</v>
      </c>
      <c r="L122" s="59"/>
      <c r="M122" s="59"/>
      <c r="N122" s="59"/>
      <c r="O122" s="59"/>
      <c r="P122" s="46"/>
      <c r="Q122" s="46"/>
      <c r="R122" s="46"/>
    </row>
    <row r="123" spans="2:18" s="2" customFormat="1" outlineLevel="1" x14ac:dyDescent="0.3">
      <c r="B123" s="46"/>
      <c r="C123" s="46"/>
      <c r="D123" s="46"/>
      <c r="E123" s="68"/>
      <c r="F123" s="68"/>
      <c r="G123" s="68"/>
      <c r="H123" s="68"/>
      <c r="I123" s="68"/>
      <c r="J123" s="68"/>
      <c r="K123" s="68"/>
      <c r="L123" s="55"/>
      <c r="M123" s="55"/>
      <c r="N123" s="46"/>
      <c r="O123" s="46"/>
      <c r="P123" s="46"/>
      <c r="Q123" s="46"/>
      <c r="R123" s="46"/>
    </row>
    <row r="124" spans="2:18" outlineLevel="1" x14ac:dyDescent="0.3">
      <c r="B124" s="44" t="s">
        <v>289</v>
      </c>
      <c r="C124" s="44"/>
      <c r="D124" s="44"/>
      <c r="E124" s="150">
        <f t="shared" ref="E124:K124" si="66">E26+E39+E42+E45</f>
        <v>210</v>
      </c>
      <c r="F124" s="150">
        <f t="shared" si="66"/>
        <v>217</v>
      </c>
      <c r="G124" s="150">
        <f t="shared" si="66"/>
        <v>217.59276734383559</v>
      </c>
      <c r="H124" s="150">
        <f t="shared" si="66"/>
        <v>230.62990631643834</v>
      </c>
      <c r="I124" s="150">
        <f t="shared" si="66"/>
        <v>349.88553222328761</v>
      </c>
      <c r="J124" s="150">
        <f t="shared" si="66"/>
        <v>356.36596968616442</v>
      </c>
      <c r="K124" s="150">
        <f t="shared" si="66"/>
        <v>357.89136496588765</v>
      </c>
      <c r="L124" s="54"/>
      <c r="M124" s="54" t="s">
        <v>67</v>
      </c>
      <c r="N124" s="44"/>
      <c r="O124" s="44"/>
      <c r="P124" s="44"/>
      <c r="Q124" s="44"/>
      <c r="R124" s="44"/>
    </row>
    <row r="125" spans="2:18" outlineLevel="1" x14ac:dyDescent="0.3">
      <c r="B125" s="44" t="s">
        <v>81</v>
      </c>
      <c r="C125" s="44"/>
      <c r="D125" s="44"/>
      <c r="E125" s="150">
        <f>E129</f>
        <v>314</v>
      </c>
      <c r="F125" s="150">
        <f t="shared" ref="F125:K125" si="67">F129</f>
        <v>296</v>
      </c>
      <c r="G125" s="150">
        <f t="shared" si="67"/>
        <v>287.57994537089047</v>
      </c>
      <c r="H125" s="150">
        <f t="shared" si="67"/>
        <v>431.87928227157533</v>
      </c>
      <c r="I125" s="150">
        <f t="shared" si="67"/>
        <v>381.88337128184929</v>
      </c>
      <c r="J125" s="150">
        <f t="shared" si="67"/>
        <v>386.07118775133551</v>
      </c>
      <c r="K125" s="150">
        <f t="shared" si="67"/>
        <v>367.79331974176228</v>
      </c>
      <c r="L125" s="54"/>
      <c r="M125" s="54" t="s">
        <v>67</v>
      </c>
      <c r="N125" s="44"/>
      <c r="O125" s="44"/>
      <c r="P125" s="44"/>
      <c r="Q125" s="44"/>
      <c r="R125" s="44"/>
    </row>
    <row r="126" spans="2:18" outlineLevel="1" x14ac:dyDescent="0.3">
      <c r="B126" s="44" t="s">
        <v>290</v>
      </c>
      <c r="C126" s="44"/>
      <c r="D126" s="44"/>
      <c r="E126" s="150">
        <f>E125-E124</f>
        <v>104</v>
      </c>
      <c r="F126" s="150">
        <f t="shared" ref="F126:K126" si="68">F125-F124</f>
        <v>79</v>
      </c>
      <c r="G126" s="150">
        <f t="shared" si="68"/>
        <v>69.987178027054881</v>
      </c>
      <c r="H126" s="150">
        <f t="shared" si="68"/>
        <v>201.249375955137</v>
      </c>
      <c r="I126" s="150">
        <f t="shared" si="68"/>
        <v>31.997839058561681</v>
      </c>
      <c r="J126" s="150">
        <f t="shared" si="68"/>
        <v>29.705218065171096</v>
      </c>
      <c r="K126" s="150">
        <f t="shared" si="68"/>
        <v>9.9019547758746285</v>
      </c>
      <c r="L126" s="54"/>
      <c r="M126" s="54" t="s">
        <v>291</v>
      </c>
      <c r="N126" s="44"/>
      <c r="O126" s="44"/>
      <c r="P126" s="44"/>
      <c r="Q126" s="44"/>
      <c r="R126" s="44"/>
    </row>
    <row r="127" spans="2:18" s="2" customFormat="1" outlineLevel="1" x14ac:dyDescent="0.3">
      <c r="B127" s="46"/>
      <c r="C127" s="46"/>
      <c r="D127" s="46"/>
      <c r="E127" s="193"/>
      <c r="F127" s="193"/>
      <c r="G127" s="193"/>
      <c r="H127" s="193"/>
      <c r="I127" s="193"/>
      <c r="J127" s="193"/>
      <c r="K127" s="193"/>
      <c r="L127" s="55"/>
      <c r="M127" s="55"/>
      <c r="N127" s="46"/>
      <c r="O127" s="46"/>
      <c r="P127" s="46"/>
      <c r="Q127" s="46"/>
      <c r="R127" s="46"/>
    </row>
    <row r="128" spans="2:18" outlineLevel="1" x14ac:dyDescent="0.3">
      <c r="B128" s="44" t="s">
        <v>80</v>
      </c>
      <c r="C128" s="44"/>
      <c r="D128" s="44"/>
      <c r="E128" s="141">
        <f>E26+E39+E42+E45+E47</f>
        <v>314</v>
      </c>
      <c r="F128" s="141">
        <f>F26+F39+F42+F45+F47</f>
        <v>296</v>
      </c>
      <c r="G128" s="141">
        <f t="shared" ref="G128:K128" si="69">G124+G126</f>
        <v>287.57994537089047</v>
      </c>
      <c r="H128" s="141">
        <f t="shared" si="69"/>
        <v>431.87928227157533</v>
      </c>
      <c r="I128" s="141">
        <f t="shared" si="69"/>
        <v>381.88337128184929</v>
      </c>
      <c r="J128" s="141">
        <f t="shared" si="69"/>
        <v>386.07118775133551</v>
      </c>
      <c r="K128" s="141">
        <f t="shared" si="69"/>
        <v>367.79331974176228</v>
      </c>
      <c r="L128" s="54"/>
      <c r="M128" s="54" t="s">
        <v>67</v>
      </c>
      <c r="N128" s="54"/>
      <c r="O128" s="54"/>
      <c r="P128" s="44"/>
      <c r="Q128" s="44"/>
      <c r="R128" s="44"/>
    </row>
    <row r="129" spans="2:18" outlineLevel="1" x14ac:dyDescent="0.3">
      <c r="B129" s="44" t="s">
        <v>81</v>
      </c>
      <c r="C129" s="44"/>
      <c r="D129" s="44"/>
      <c r="E129" s="141">
        <f t="shared" ref="E129:K129" si="70">E53+E61+E95+E108+E110+E116+E120</f>
        <v>314</v>
      </c>
      <c r="F129" s="141">
        <f t="shared" si="70"/>
        <v>296</v>
      </c>
      <c r="G129" s="141">
        <f t="shared" si="70"/>
        <v>287.57994537089047</v>
      </c>
      <c r="H129" s="141">
        <f t="shared" si="70"/>
        <v>431.87928227157533</v>
      </c>
      <c r="I129" s="141">
        <f t="shared" si="70"/>
        <v>381.88337128184929</v>
      </c>
      <c r="J129" s="141">
        <f t="shared" si="70"/>
        <v>386.07118775133551</v>
      </c>
      <c r="K129" s="141">
        <f t="shared" si="70"/>
        <v>367.79331974176228</v>
      </c>
      <c r="L129" s="54"/>
      <c r="M129" s="54" t="s">
        <v>67</v>
      </c>
      <c r="N129" s="54"/>
      <c r="O129" s="54"/>
      <c r="P129" s="44"/>
      <c r="Q129" s="44"/>
      <c r="R129" s="44"/>
    </row>
    <row r="130" spans="2:18" s="208" customFormat="1" outlineLevel="1" x14ac:dyDescent="0.3">
      <c r="B130" s="104" t="s">
        <v>82</v>
      </c>
      <c r="C130" s="104"/>
      <c r="D130" s="104"/>
      <c r="E130" s="209">
        <f>E128-E129</f>
        <v>0</v>
      </c>
      <c r="F130" s="209">
        <f t="shared" ref="F130:K130" si="71">F128-F129</f>
        <v>0</v>
      </c>
      <c r="G130" s="209">
        <f t="shared" si="71"/>
        <v>0</v>
      </c>
      <c r="H130" s="209">
        <f t="shared" si="71"/>
        <v>0</v>
      </c>
      <c r="I130" s="209">
        <f t="shared" si="71"/>
        <v>0</v>
      </c>
      <c r="J130" s="209">
        <f t="shared" si="71"/>
        <v>0</v>
      </c>
      <c r="K130" s="209">
        <f t="shared" si="71"/>
        <v>0</v>
      </c>
      <c r="L130" s="110"/>
      <c r="M130" s="110" t="s">
        <v>86</v>
      </c>
      <c r="N130" s="110"/>
      <c r="O130" s="110"/>
      <c r="P130" s="104"/>
      <c r="Q130" s="104"/>
      <c r="R130" s="104"/>
    </row>
    <row r="131" spans="2:18" outlineLevel="1" x14ac:dyDescent="0.3">
      <c r="B131" s="44"/>
      <c r="C131" s="44"/>
      <c r="D131" s="44"/>
      <c r="E131" s="141"/>
      <c r="F131" s="141"/>
      <c r="G131" s="141"/>
      <c r="H131" s="141"/>
      <c r="I131" s="141"/>
      <c r="J131" s="141"/>
      <c r="K131" s="141"/>
      <c r="L131" s="54"/>
      <c r="M131" s="54"/>
      <c r="N131" s="54"/>
      <c r="O131" s="54"/>
      <c r="P131" s="44"/>
      <c r="Q131" s="44"/>
      <c r="R131" s="44"/>
    </row>
    <row r="132" spans="2:18" outlineLevel="1" x14ac:dyDescent="0.3">
      <c r="B132" s="44" t="s">
        <v>83</v>
      </c>
      <c r="C132" s="44"/>
      <c r="D132" s="44"/>
      <c r="E132" s="160">
        <f>Balans!E16</f>
        <v>314</v>
      </c>
      <c r="F132" s="160">
        <f>Balans!F16</f>
        <v>296</v>
      </c>
      <c r="G132" s="160">
        <f>Balans!G16</f>
        <v>287.57994537089047</v>
      </c>
      <c r="H132" s="160">
        <f>Balans!H16</f>
        <v>431.87928227157533</v>
      </c>
      <c r="I132" s="160">
        <f>Balans!I16</f>
        <v>381.88337128184935</v>
      </c>
      <c r="J132" s="160">
        <f>Balans!J16</f>
        <v>386.07118775133546</v>
      </c>
      <c r="K132" s="160">
        <f>Balans!K16</f>
        <v>367.79331974176228</v>
      </c>
      <c r="L132" s="54"/>
      <c r="M132" s="54" t="s">
        <v>76</v>
      </c>
      <c r="N132" s="44"/>
      <c r="O132" s="44"/>
      <c r="P132" s="44"/>
      <c r="Q132" s="44"/>
      <c r="R132" s="44"/>
    </row>
    <row r="133" spans="2:18" outlineLevel="1" x14ac:dyDescent="0.3">
      <c r="B133" s="44" t="s">
        <v>84</v>
      </c>
      <c r="C133" s="44"/>
      <c r="D133" s="44"/>
      <c r="E133" s="160">
        <f>Balans!E30</f>
        <v>314</v>
      </c>
      <c r="F133" s="160">
        <f>Balans!F30</f>
        <v>296</v>
      </c>
      <c r="G133" s="160">
        <f>Balans!G30</f>
        <v>287.57994537089041</v>
      </c>
      <c r="H133" s="160">
        <f>Balans!H30</f>
        <v>431.87928227157533</v>
      </c>
      <c r="I133" s="160">
        <f>Balans!I30</f>
        <v>381.88337128184929</v>
      </c>
      <c r="J133" s="160">
        <f>Balans!J30</f>
        <v>386.07118775133551</v>
      </c>
      <c r="K133" s="160">
        <f>Balans!K30</f>
        <v>367.79331974176228</v>
      </c>
      <c r="L133" s="54"/>
      <c r="M133" s="54" t="s">
        <v>76</v>
      </c>
      <c r="N133" s="44"/>
      <c r="O133" s="44"/>
      <c r="P133" s="44"/>
      <c r="Q133" s="44"/>
      <c r="R133" s="44"/>
    </row>
    <row r="134" spans="2:18" s="208" customFormat="1" outlineLevel="1" x14ac:dyDescent="0.3">
      <c r="B134" s="104" t="s">
        <v>85</v>
      </c>
      <c r="C134" s="104"/>
      <c r="D134" s="104"/>
      <c r="E134" s="209">
        <f>E128-E132+E129-E133</f>
        <v>0</v>
      </c>
      <c r="F134" s="209">
        <f t="shared" ref="F134:K134" si="72">F128-F132+F129-F133</f>
        <v>0</v>
      </c>
      <c r="G134" s="209">
        <f t="shared" si="72"/>
        <v>0</v>
      </c>
      <c r="H134" s="209">
        <f t="shared" si="72"/>
        <v>0</v>
      </c>
      <c r="I134" s="209">
        <f t="shared" si="72"/>
        <v>0</v>
      </c>
      <c r="J134" s="209">
        <f t="shared" si="72"/>
        <v>0</v>
      </c>
      <c r="K134" s="209">
        <f t="shared" si="72"/>
        <v>0</v>
      </c>
      <c r="L134" s="110"/>
      <c r="M134" s="110" t="s">
        <v>87</v>
      </c>
      <c r="N134" s="104"/>
      <c r="O134" s="104"/>
      <c r="P134" s="104"/>
      <c r="Q134" s="104"/>
      <c r="R134" s="104"/>
    </row>
    <row r="135" spans="2:18" s="118" customFormat="1" outlineLevel="1" x14ac:dyDescent="0.3">
      <c r="B135" s="56"/>
      <c r="C135" s="56"/>
      <c r="D135" s="56"/>
      <c r="E135" s="142"/>
      <c r="F135" s="142"/>
      <c r="G135" s="142"/>
      <c r="H135" s="142"/>
      <c r="I135" s="142"/>
      <c r="J135" s="142"/>
      <c r="K135" s="142"/>
      <c r="L135" s="87"/>
      <c r="M135" s="110"/>
      <c r="N135" s="56"/>
      <c r="O135" s="56"/>
      <c r="P135" s="56"/>
      <c r="Q135" s="56"/>
      <c r="R135" s="56"/>
    </row>
    <row r="136" spans="2:18" s="214" customFormat="1" outlineLevel="1" x14ac:dyDescent="0.3">
      <c r="B136" s="66" t="s">
        <v>395</v>
      </c>
      <c r="C136" s="66"/>
      <c r="D136" s="66"/>
      <c r="E136" s="137"/>
      <c r="F136" s="160">
        <f>'1. Realisatie RR en BS'!F51</f>
        <v>10</v>
      </c>
      <c r="G136" s="137"/>
      <c r="H136" s="137"/>
      <c r="I136" s="137"/>
      <c r="J136" s="137"/>
      <c r="K136" s="137"/>
      <c r="L136" s="85"/>
      <c r="M136" s="80" t="s">
        <v>401</v>
      </c>
      <c r="N136" s="58"/>
      <c r="O136" s="58"/>
      <c r="P136" s="58"/>
      <c r="Q136" s="58"/>
      <c r="R136" s="58"/>
    </row>
    <row r="137" spans="2:18" s="214" customFormat="1" outlineLevel="1" x14ac:dyDescent="0.3">
      <c r="B137" s="66" t="s">
        <v>396</v>
      </c>
      <c r="C137" s="66"/>
      <c r="D137" s="66"/>
      <c r="E137" s="137"/>
      <c r="F137" s="137">
        <f>F61</f>
        <v>10</v>
      </c>
      <c r="G137" s="137"/>
      <c r="H137" s="137"/>
      <c r="I137" s="137"/>
      <c r="J137" s="137"/>
      <c r="K137" s="137"/>
      <c r="L137" s="85"/>
      <c r="M137" s="80" t="s">
        <v>402</v>
      </c>
      <c r="N137" s="58"/>
      <c r="O137" s="58"/>
      <c r="P137" s="58"/>
      <c r="Q137" s="58"/>
      <c r="R137" s="58"/>
    </row>
    <row r="138" spans="2:18" s="118" customFormat="1" outlineLevel="1" x14ac:dyDescent="0.3">
      <c r="B138" s="104" t="s">
        <v>397</v>
      </c>
      <c r="C138" s="104"/>
      <c r="D138" s="104"/>
      <c r="E138" s="172"/>
      <c r="F138" s="209">
        <f>F136-F137</f>
        <v>0</v>
      </c>
      <c r="G138" s="172"/>
      <c r="H138" s="172"/>
      <c r="I138" s="172"/>
      <c r="J138" s="172"/>
      <c r="K138" s="172"/>
      <c r="L138" s="87"/>
      <c r="M138" s="110" t="s">
        <v>18</v>
      </c>
      <c r="N138" s="56"/>
      <c r="O138" s="56"/>
      <c r="P138" s="56"/>
      <c r="Q138" s="56"/>
      <c r="R138" s="56"/>
    </row>
    <row r="139" spans="2:18" s="118" customFormat="1" outlineLevel="1" x14ac:dyDescent="0.3">
      <c r="B139" s="104"/>
      <c r="C139" s="104"/>
      <c r="D139" s="104"/>
      <c r="E139" s="172"/>
      <c r="F139" s="172"/>
      <c r="G139" s="172"/>
      <c r="H139" s="172"/>
      <c r="I139" s="172"/>
      <c r="J139" s="172"/>
      <c r="K139" s="172"/>
      <c r="L139" s="87"/>
      <c r="M139" s="208"/>
      <c r="N139" s="56"/>
      <c r="O139" s="56"/>
      <c r="P139" s="56"/>
      <c r="Q139" s="56"/>
      <c r="R139" s="56"/>
    </row>
    <row r="140" spans="2:18" s="214" customFormat="1" outlineLevel="1" x14ac:dyDescent="0.3">
      <c r="B140" s="66" t="s">
        <v>400</v>
      </c>
      <c r="C140" s="66"/>
      <c r="D140" s="66"/>
      <c r="E140" s="137"/>
      <c r="F140" s="160">
        <f>'1. Realisatie RR en BS'!F53</f>
        <v>60</v>
      </c>
      <c r="G140" s="137"/>
      <c r="H140" s="137"/>
      <c r="I140" s="137"/>
      <c r="J140" s="137"/>
      <c r="K140" s="137"/>
      <c r="L140" s="85"/>
      <c r="M140" s="80" t="s">
        <v>401</v>
      </c>
      <c r="N140" s="58"/>
      <c r="O140" s="58"/>
      <c r="P140" s="58"/>
      <c r="Q140" s="58"/>
      <c r="R140" s="58"/>
    </row>
    <row r="141" spans="2:18" s="214" customFormat="1" outlineLevel="1" x14ac:dyDescent="0.3">
      <c r="B141" s="66" t="s">
        <v>396</v>
      </c>
      <c r="C141" s="66"/>
      <c r="D141" s="66"/>
      <c r="E141" s="137"/>
      <c r="F141" s="137">
        <f>F71</f>
        <v>60</v>
      </c>
      <c r="G141" s="137"/>
      <c r="H141" s="137"/>
      <c r="I141" s="137"/>
      <c r="J141" s="137"/>
      <c r="K141" s="137"/>
      <c r="L141" s="85"/>
      <c r="M141" s="80" t="s">
        <v>402</v>
      </c>
      <c r="N141" s="58"/>
      <c r="O141" s="58"/>
      <c r="P141" s="58"/>
      <c r="Q141" s="58"/>
      <c r="R141" s="58"/>
    </row>
    <row r="142" spans="2:18" s="118" customFormat="1" outlineLevel="1" x14ac:dyDescent="0.3">
      <c r="B142" s="104" t="s">
        <v>397</v>
      </c>
      <c r="C142" s="104"/>
      <c r="D142" s="104"/>
      <c r="E142" s="172"/>
      <c r="F142" s="209">
        <f>F140-F141</f>
        <v>0</v>
      </c>
      <c r="G142" s="172"/>
      <c r="H142" s="172"/>
      <c r="I142" s="172"/>
      <c r="J142" s="172"/>
      <c r="K142" s="172"/>
      <c r="L142" s="87"/>
      <c r="M142" s="110" t="s">
        <v>18</v>
      </c>
      <c r="N142" s="56"/>
      <c r="O142" s="56"/>
      <c r="P142" s="56"/>
      <c r="Q142" s="56"/>
      <c r="R142" s="56"/>
    </row>
    <row r="143" spans="2:18" s="118" customFormat="1" outlineLevel="1" x14ac:dyDescent="0.3">
      <c r="B143" s="104"/>
      <c r="C143" s="104"/>
      <c r="D143" s="104"/>
      <c r="E143" s="172"/>
      <c r="F143" s="172"/>
      <c r="G143" s="172"/>
      <c r="H143" s="172"/>
      <c r="I143" s="172"/>
      <c r="J143" s="172"/>
      <c r="K143" s="172"/>
      <c r="L143" s="87"/>
      <c r="M143" s="110"/>
      <c r="N143" s="56"/>
      <c r="O143" s="56"/>
      <c r="P143" s="56"/>
      <c r="Q143" s="56"/>
      <c r="R143" s="56"/>
    </row>
    <row r="144" spans="2:18" s="118" customFormat="1" outlineLevel="1" x14ac:dyDescent="0.3">
      <c r="B144" s="104" t="s">
        <v>398</v>
      </c>
      <c r="C144" s="104"/>
      <c r="D144" s="104"/>
      <c r="E144" s="172">
        <f t="shared" ref="E144:K144" si="73">ABS(E130)+ABS(E134)+ABS(E138)+ABS(E142)</f>
        <v>0</v>
      </c>
      <c r="F144" s="172">
        <f>ABS(F130)+ABS(F134)+ABS(F138)+ABS(F142)</f>
        <v>0</v>
      </c>
      <c r="G144" s="172">
        <f t="shared" ref="G144:K144" si="74">ABS(G130)+ABS(G134)+ABS(G138)+ABS(G142)</f>
        <v>0</v>
      </c>
      <c r="H144" s="172">
        <f t="shared" si="74"/>
        <v>0</v>
      </c>
      <c r="I144" s="172">
        <f t="shared" si="74"/>
        <v>0</v>
      </c>
      <c r="J144" s="172">
        <f t="shared" si="74"/>
        <v>0</v>
      </c>
      <c r="K144" s="172">
        <f t="shared" si="74"/>
        <v>0</v>
      </c>
      <c r="L144" s="87"/>
      <c r="M144" s="110" t="s">
        <v>88</v>
      </c>
      <c r="N144" s="56"/>
      <c r="O144" s="56"/>
      <c r="P144" s="56"/>
      <c r="Q144" s="56"/>
      <c r="R144" s="56"/>
    </row>
    <row r="145" spans="2:18" x14ac:dyDescent="0.3">
      <c r="B145" s="44"/>
      <c r="C145" s="44"/>
      <c r="D145" s="44"/>
      <c r="E145" s="141"/>
      <c r="F145" s="141"/>
      <c r="G145" s="141"/>
      <c r="H145" s="141"/>
      <c r="I145" s="141"/>
      <c r="J145" s="141"/>
      <c r="K145" s="141"/>
      <c r="L145" s="54"/>
      <c r="M145" s="80"/>
      <c r="N145" s="44"/>
      <c r="O145" s="44"/>
      <c r="P145" s="44"/>
      <c r="Q145" s="44"/>
      <c r="R145" s="44"/>
    </row>
    <row r="146" spans="2:18" x14ac:dyDescent="0.3">
      <c r="B146" s="44"/>
      <c r="C146" s="44"/>
      <c r="D146" s="44"/>
      <c r="E146" s="141"/>
      <c r="F146" s="141"/>
      <c r="G146" s="141"/>
      <c r="H146" s="141"/>
      <c r="I146" s="141"/>
      <c r="J146" s="141"/>
      <c r="K146" s="141"/>
      <c r="L146" s="54"/>
      <c r="M146" s="80"/>
      <c r="N146" s="44"/>
      <c r="O146" s="44"/>
      <c r="P146" s="44"/>
      <c r="Q146" s="44"/>
      <c r="R146" s="44"/>
    </row>
    <row r="147" spans="2:18" x14ac:dyDescent="0.3">
      <c r="B147" s="44"/>
      <c r="C147" s="44"/>
      <c r="D147" s="44"/>
      <c r="E147" s="141"/>
      <c r="F147" s="141"/>
      <c r="G147" s="141"/>
      <c r="H147" s="141"/>
      <c r="I147" s="141"/>
      <c r="J147" s="141"/>
      <c r="K147" s="141"/>
      <c r="L147" s="54"/>
      <c r="M147" s="54"/>
      <c r="N147" s="44"/>
      <c r="O147" s="44"/>
      <c r="P147" s="44"/>
      <c r="Q147" s="44"/>
      <c r="R147" s="44"/>
    </row>
    <row r="148" spans="2:18" x14ac:dyDescent="0.3">
      <c r="B148" s="44"/>
      <c r="C148" s="44"/>
      <c r="D148" s="44"/>
      <c r="E148" s="141"/>
      <c r="F148" s="141"/>
      <c r="G148" s="141"/>
      <c r="H148" s="141"/>
      <c r="I148" s="141"/>
      <c r="J148" s="141"/>
      <c r="K148" s="141"/>
      <c r="L148" s="54"/>
      <c r="M148" s="54"/>
      <c r="N148" s="44"/>
      <c r="O148" s="44"/>
      <c r="P148" s="44"/>
      <c r="Q148" s="44"/>
      <c r="R148" s="44"/>
    </row>
    <row r="149" spans="2:18" x14ac:dyDescent="0.3">
      <c r="B149" s="44"/>
      <c r="C149" s="44"/>
      <c r="D149" s="44"/>
      <c r="E149" s="141"/>
      <c r="F149" s="141"/>
      <c r="G149" s="141"/>
      <c r="H149" s="141"/>
      <c r="I149" s="141"/>
      <c r="J149" s="141"/>
      <c r="K149" s="141"/>
      <c r="L149" s="54"/>
      <c r="M149" s="54"/>
      <c r="N149" s="44"/>
      <c r="O149" s="44"/>
      <c r="P149" s="44"/>
      <c r="Q149" s="44"/>
      <c r="R149" s="44"/>
    </row>
    <row r="150" spans="2:18" x14ac:dyDescent="0.3">
      <c r="B150" s="44"/>
      <c r="C150" s="44"/>
      <c r="D150" s="44"/>
      <c r="E150" s="44"/>
      <c r="F150" s="44"/>
      <c r="G150" s="44"/>
      <c r="H150" s="44"/>
      <c r="I150" s="44"/>
      <c r="J150" s="44"/>
      <c r="K150" s="44"/>
      <c r="L150" s="54"/>
      <c r="M150" s="54"/>
      <c r="N150" s="44"/>
      <c r="O150" s="44"/>
      <c r="P150" s="44"/>
      <c r="Q150" s="44"/>
      <c r="R150" s="44"/>
    </row>
  </sheetData>
  <conditionalFormatting sqref="E27:F27">
    <cfRule type="cellIs" dxfId="9" priority="7" operator="notEqual">
      <formula>E26</formula>
    </cfRule>
  </conditionalFormatting>
  <conditionalFormatting sqref="E4:K4">
    <cfRule type="expression" dxfId="8" priority="18">
      <formula>E4="CHECK"</formula>
    </cfRule>
  </conditionalFormatting>
  <conditionalFormatting sqref="E130:K130 E134:K134 E144:K144">
    <cfRule type="expression" dxfId="7" priority="19">
      <formula>E130&lt;&gt;0</formula>
    </cfRule>
  </conditionalFormatting>
  <conditionalFormatting sqref="F62">
    <cfRule type="expression" dxfId="6" priority="15">
      <formula>ROUND(F62,0)&lt;&gt;ROUND(F61,0)</formula>
    </cfRule>
  </conditionalFormatting>
  <conditionalFormatting sqref="F75 F101:F103 F102:K102 F105 F113">
    <cfRule type="expression" dxfId="5" priority="32">
      <formula>ROUND(#REF!,0)&lt;&gt;ROUND(#REF!,0)</formula>
    </cfRule>
  </conditionalFormatting>
  <conditionalFormatting sqref="F87">
    <cfRule type="expression" dxfId="4" priority="3">
      <formula>ROUND(#REF!,0)&lt;&gt;ROUND(#REF!,0)</formula>
    </cfRule>
  </conditionalFormatting>
  <conditionalFormatting sqref="F96">
    <cfRule type="cellIs" dxfId="3" priority="13" operator="notEqual">
      <formula>F95</formula>
    </cfRule>
  </conditionalFormatting>
  <conditionalFormatting sqref="F99:K100">
    <cfRule type="expression" dxfId="2" priority="11">
      <formula>ROUND(#REF!,0)&lt;&gt;ROUND(#REF!,0)</formula>
    </cfRule>
  </conditionalFormatting>
  <conditionalFormatting sqref="H2">
    <cfRule type="cellIs" dxfId="1" priority="1" operator="notEqual">
      <formula>0</formula>
    </cfRule>
    <cfRule type="cellIs" dxfId="0" priority="2" operator="equal">
      <formula>0</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Bepalingen</vt:lpstr>
      <vt:lpstr>Modeltoelichting</vt:lpstr>
      <vt:lpstr>Afkortingen</vt:lpstr>
      <vt:lpstr>OUTPUT-&gt;</vt:lpstr>
      <vt:lpstr>ErrorChecks</vt:lpstr>
      <vt:lpstr>Dashboard</vt:lpstr>
      <vt:lpstr>RR</vt:lpstr>
      <vt:lpstr>Balans</vt:lpstr>
      <vt:lpstr>Kasstroomoverzicht</vt:lpstr>
      <vt:lpstr>Ratios</vt:lpstr>
      <vt:lpstr>INVOER-&gt;</vt:lpstr>
      <vt:lpstr>1. Realisatie RR en BS</vt:lpstr>
      <vt:lpstr>2. Prognose RR</vt:lpstr>
      <vt:lpstr>3. Prognose BS</vt:lpstr>
      <vt:lpstr>Balans!Print_Area</vt:lpstr>
      <vt:lpstr>Dashboard!Print_Area</vt:lpstr>
      <vt:lpstr>Kasstroomoverzicht!Print_Area</vt:lpstr>
      <vt:lpstr>Ratios!Print_Area</vt:lpstr>
      <vt:lpstr>RR!Print_Area</vt:lpstr>
    </vt:vector>
  </TitlesOfParts>
  <Company>KnowYourFinance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KnowYourFinance</dc:creator>
  <cp:lastModifiedBy>Sieuwerd Tiemersma</cp:lastModifiedBy>
  <cp:lastPrinted>2019-08-02T08:37:55Z</cp:lastPrinted>
  <dcterms:created xsi:type="dcterms:W3CDTF">2017-10-27T13:57:08Z</dcterms:created>
  <dcterms:modified xsi:type="dcterms:W3CDTF">2026-05-14T17:57:16Z</dcterms:modified>
</cp:coreProperties>
</file>