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C:\Users\stiem\OneDrive\Documents\_KnowYourFinance\Modellen\Meerjaren_categoraal\"/>
    </mc:Choice>
  </mc:AlternateContent>
  <xr:revisionPtr revIDLastSave="0" documentId="13_ncr:1_{F2F4EB11-95B5-4D0A-9515-056083B83BCD}" xr6:coauthVersionLast="47" xr6:coauthVersionMax="47" xr10:uidLastSave="{00000000-0000-0000-0000-000000000000}"/>
  <bookViews>
    <workbookView xWindow="-108" yWindow="-108" windowWidth="23256" windowHeight="12456" activeTab="5" xr2:uid="{00000000-000D-0000-FFFF-FFFF00000000}"/>
  </bookViews>
  <sheets>
    <sheet name="Bepalingen" sheetId="23" r:id="rId1"/>
    <sheet name="Modeltoelichting" sheetId="4" r:id="rId2"/>
    <sheet name="Afkortingen" sheetId="22" r:id="rId3"/>
    <sheet name="OUTPUT-&gt;" sheetId="21" r:id="rId4"/>
    <sheet name="ErrorChecks" sheetId="24" r:id="rId5"/>
    <sheet name="Dashboard" sheetId="19" r:id="rId6"/>
    <sheet name="RR" sheetId="1" r:id="rId7"/>
    <sheet name="Ratios" sheetId="18" r:id="rId8"/>
    <sheet name="INVOER-&gt;" sheetId="13" r:id="rId9"/>
    <sheet name="1. Realisatie RR" sheetId="12" r:id="rId10"/>
    <sheet name="2. Prognose RR" sheetId="3" r:id="rId11"/>
  </sheets>
  <definedNames>
    <definedName name="_xlnm.Print_Area" localSheetId="5">Dashboard!$B$2:$T$24</definedName>
    <definedName name="_xlnm.Print_Area" localSheetId="7">Ratios!$B$2:$K$48</definedName>
    <definedName name="_xlnm.Print_Area" localSheetId="6">RR!$B$2:$K$34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1" i="3" l="1"/>
  <c r="F60" i="3"/>
  <c r="E60" i="3"/>
  <c r="F59" i="3"/>
  <c r="E59" i="3"/>
  <c r="F55" i="3"/>
  <c r="E55" i="3"/>
  <c r="F34" i="3"/>
  <c r="E34" i="3"/>
  <c r="F41" i="3"/>
  <c r="F44" i="3" s="1"/>
  <c r="F14" i="1" s="1"/>
  <c r="E41" i="3"/>
  <c r="E44" i="3" s="1"/>
  <c r="E14" i="1" s="1"/>
  <c r="F36" i="3"/>
  <c r="E36" i="3"/>
  <c r="B19" i="12"/>
  <c r="B17" i="12"/>
  <c r="B21" i="12"/>
  <c r="F19" i="12"/>
  <c r="E19" i="12"/>
  <c r="E9" i="12"/>
  <c r="K28" i="1" l="1"/>
  <c r="J28" i="1"/>
  <c r="I28" i="1"/>
  <c r="H28" i="1"/>
  <c r="G28" i="1"/>
  <c r="E5" i="1"/>
  <c r="F9" i="12" l="1"/>
  <c r="F5" i="1" l="1"/>
  <c r="G9" i="12"/>
  <c r="G5" i="1" l="1"/>
  <c r="H9" i="12"/>
  <c r="I9" i="12" l="1"/>
  <c r="H5" i="1"/>
  <c r="J9" i="12" l="1"/>
  <c r="I5" i="1"/>
  <c r="K9" i="12" l="1"/>
  <c r="J5" i="1"/>
  <c r="K5" i="1" l="1"/>
  <c r="AI3" i="19" l="1"/>
  <c r="F17" i="3" l="1"/>
  <c r="F15" i="3" s="1"/>
  <c r="E17" i="3"/>
  <c r="E15" i="3" s="1"/>
  <c r="B17" i="3"/>
  <c r="F11" i="3"/>
  <c r="E11" i="3"/>
  <c r="B30" i="3"/>
  <c r="E7" i="1" l="1"/>
  <c r="AI8" i="19" s="1"/>
  <c r="F7" i="1"/>
  <c r="AJ8" i="19" s="1"/>
  <c r="E19" i="3"/>
  <c r="F19" i="3"/>
  <c r="E9" i="3"/>
  <c r="E8" i="1"/>
  <c r="AI9" i="19" s="1"/>
  <c r="F8" i="1"/>
  <c r="AJ9" i="19" s="1"/>
  <c r="F9" i="3"/>
  <c r="B47" i="18" l="1"/>
  <c r="B46" i="18"/>
  <c r="B44" i="18"/>
  <c r="B43" i="18"/>
  <c r="B42" i="18"/>
  <c r="B41" i="18"/>
  <c r="B40" i="18"/>
  <c r="B38" i="18"/>
  <c r="B33" i="18"/>
  <c r="B36" i="18"/>
  <c r="B35" i="18"/>
  <c r="B34" i="18"/>
  <c r="B32" i="18"/>
  <c r="B30" i="18"/>
  <c r="B29" i="18"/>
  <c r="B28" i="18"/>
  <c r="K12" i="18"/>
  <c r="J12" i="18"/>
  <c r="I12" i="18"/>
  <c r="H12" i="18"/>
  <c r="G12" i="18"/>
  <c r="F12" i="18"/>
  <c r="E12" i="18"/>
  <c r="F10" i="18"/>
  <c r="E10" i="18"/>
  <c r="K9" i="18"/>
  <c r="J9" i="18"/>
  <c r="I9" i="18"/>
  <c r="H9" i="18"/>
  <c r="G9" i="18"/>
  <c r="F9" i="18"/>
  <c r="E9" i="18"/>
  <c r="F30" i="3" l="1"/>
  <c r="E30" i="3"/>
  <c r="E61" i="3"/>
  <c r="F61" i="3"/>
  <c r="K30" i="1"/>
  <c r="J30" i="1"/>
  <c r="I30" i="1"/>
  <c r="H30" i="1"/>
  <c r="G30" i="1"/>
  <c r="F30" i="1"/>
  <c r="E30" i="1"/>
  <c r="K21" i="1"/>
  <c r="J21" i="1"/>
  <c r="I21" i="1"/>
  <c r="H21" i="1"/>
  <c r="G21" i="1"/>
  <c r="F53" i="3"/>
  <c r="F19" i="1" s="1"/>
  <c r="E53" i="3"/>
  <c r="E19" i="1" s="1"/>
  <c r="K19" i="1"/>
  <c r="J19" i="1"/>
  <c r="I19" i="1"/>
  <c r="H19" i="1"/>
  <c r="G19" i="1"/>
  <c r="F39" i="3"/>
  <c r="E39" i="3"/>
  <c r="K37" i="3"/>
  <c r="J37" i="3"/>
  <c r="I37" i="3"/>
  <c r="H37" i="3"/>
  <c r="G37" i="3"/>
  <c r="K42" i="3"/>
  <c r="J42" i="3"/>
  <c r="I42" i="3"/>
  <c r="H42" i="3"/>
  <c r="G42" i="3"/>
  <c r="F13" i="1" l="1"/>
  <c r="F46" i="3"/>
  <c r="F47" i="3" s="1"/>
  <c r="F49" i="3" s="1"/>
  <c r="E46" i="3"/>
  <c r="E47" i="3" s="1"/>
  <c r="E49" i="3" s="1"/>
  <c r="E13" i="1"/>
  <c r="F11" i="1"/>
  <c r="F27" i="3"/>
  <c r="E11" i="1"/>
  <c r="E27" i="3"/>
  <c r="G36" i="3"/>
  <c r="G39" i="3" s="1"/>
  <c r="F37" i="3"/>
  <c r="K14" i="3"/>
  <c r="J14" i="3"/>
  <c r="I14" i="3"/>
  <c r="H14" i="3"/>
  <c r="G14" i="3"/>
  <c r="F10" i="3"/>
  <c r="E5" i="3"/>
  <c r="E77" i="3" s="1"/>
  <c r="G13" i="1" l="1"/>
  <c r="F14" i="18"/>
  <c r="E14" i="18"/>
  <c r="AJ11" i="19"/>
  <c r="AI11" i="19"/>
  <c r="F42" i="3"/>
  <c r="E42" i="3"/>
  <c r="H36" i="3"/>
  <c r="H39" i="3" s="1"/>
  <c r="E51" i="3"/>
  <c r="E69" i="3"/>
  <c r="E63" i="3"/>
  <c r="E21" i="3"/>
  <c r="E32" i="3"/>
  <c r="B23" i="12"/>
  <c r="B53" i="3" s="1"/>
  <c r="H13" i="1" l="1"/>
  <c r="G15" i="3"/>
  <c r="I36" i="3"/>
  <c r="I39" i="3" s="1"/>
  <c r="F14" i="3"/>
  <c r="E5" i="18"/>
  <c r="I13" i="1" l="1"/>
  <c r="G17" i="3"/>
  <c r="G8" i="1" s="1"/>
  <c r="AK9" i="19" s="1"/>
  <c r="H15" i="3"/>
  <c r="J36" i="3"/>
  <c r="J39" i="3" s="1"/>
  <c r="J13" i="1" l="1"/>
  <c r="H17" i="3"/>
  <c r="H8" i="1" s="1"/>
  <c r="AL9" i="19" s="1"/>
  <c r="I15" i="3"/>
  <c r="K36" i="3"/>
  <c r="K39" i="3" s="1"/>
  <c r="AJ3" i="19"/>
  <c r="AK3" i="19" s="1"/>
  <c r="AL3" i="19" s="1"/>
  <c r="AM3" i="19" s="1"/>
  <c r="AN3" i="19" s="1"/>
  <c r="AO3" i="19" s="1"/>
  <c r="K13" i="1" l="1"/>
  <c r="I17" i="3"/>
  <c r="I8" i="1" s="1"/>
  <c r="AM9" i="19" s="1"/>
  <c r="J15" i="3"/>
  <c r="E26" i="18"/>
  <c r="J17" i="3" l="1"/>
  <c r="J8" i="1" s="1"/>
  <c r="AN9" i="19" s="1"/>
  <c r="K15" i="3"/>
  <c r="K17" i="3" s="1"/>
  <c r="K8" i="1" l="1"/>
  <c r="AO9" i="19" s="1"/>
  <c r="H12" i="1"/>
  <c r="I12" i="1"/>
  <c r="J12" i="1"/>
  <c r="K12" i="1"/>
  <c r="F12" i="1" l="1"/>
  <c r="F15" i="1" s="1"/>
  <c r="E12" i="1"/>
  <c r="E15" i="1" s="1"/>
  <c r="K20" i="1" l="1"/>
  <c r="J20" i="1"/>
  <c r="I20" i="1"/>
  <c r="H20" i="1"/>
  <c r="F20" i="1"/>
  <c r="E20" i="1"/>
  <c r="B55" i="3"/>
  <c r="B80" i="3"/>
  <c r="B79" i="3"/>
  <c r="G20" i="1" l="1"/>
  <c r="F72" i="3"/>
  <c r="E72" i="3"/>
  <c r="B71" i="3"/>
  <c r="B33" i="12"/>
  <c r="F57" i="3"/>
  <c r="F21" i="1" s="1"/>
  <c r="E57" i="3"/>
  <c r="E21" i="1" s="1"/>
  <c r="B57" i="3"/>
  <c r="B61" i="3"/>
  <c r="B25" i="12"/>
  <c r="F66" i="3" l="1"/>
  <c r="E28" i="1"/>
  <c r="F28" i="1"/>
  <c r="E66" i="3"/>
  <c r="F22" i="1"/>
  <c r="E22" i="1"/>
  <c r="B24" i="12" l="1"/>
  <c r="B31" i="12"/>
  <c r="B30" i="12"/>
  <c r="B28" i="12"/>
  <c r="B18" i="12"/>
  <c r="B16" i="12"/>
  <c r="B15" i="12"/>
  <c r="B13" i="12"/>
  <c r="B12" i="12"/>
  <c r="B11" i="12"/>
  <c r="K65" i="3"/>
  <c r="J65" i="3"/>
  <c r="I65" i="3"/>
  <c r="H65" i="3"/>
  <c r="G65" i="3"/>
  <c r="AL5" i="19" l="1"/>
  <c r="AM5" i="19"/>
  <c r="AN5" i="19"/>
  <c r="AO5" i="19"/>
  <c r="AI5" i="19"/>
  <c r="AJ5" i="19"/>
  <c r="AK5" i="19"/>
  <c r="K25" i="3"/>
  <c r="J25" i="3"/>
  <c r="I25" i="3"/>
  <c r="H25" i="3"/>
  <c r="G25" i="3"/>
  <c r="K10" i="3"/>
  <c r="J10" i="3"/>
  <c r="I10" i="3"/>
  <c r="H10" i="3"/>
  <c r="G10" i="3"/>
  <c r="AJ6" i="19" l="1"/>
  <c r="AI6" i="19"/>
  <c r="F67" i="3"/>
  <c r="F71" i="3" s="1"/>
  <c r="E30" i="12"/>
  <c r="E67" i="3" s="1"/>
  <c r="E74" i="3" l="1"/>
  <c r="E79" i="3"/>
  <c r="E83" i="3" s="1"/>
  <c r="E75" i="3"/>
  <c r="F74" i="3"/>
  <c r="F79" i="3"/>
  <c r="F83" i="3" s="1"/>
  <c r="F75" i="3"/>
  <c r="E25" i="1"/>
  <c r="F25" i="1"/>
  <c r="E26" i="3" l="1"/>
  <c r="F26" i="3"/>
  <c r="G26" i="3" s="1"/>
  <c r="H26" i="3" s="1"/>
  <c r="I26" i="3" s="1"/>
  <c r="J26" i="3" s="1"/>
  <c r="K26" i="3" s="1"/>
  <c r="K27" i="3" s="1"/>
  <c r="F5" i="18" l="1"/>
  <c r="K30" i="3"/>
  <c r="F5" i="3"/>
  <c r="G27" i="3"/>
  <c r="F25" i="3"/>
  <c r="I27" i="3"/>
  <c r="J27" i="3"/>
  <c r="H27" i="3"/>
  <c r="G5" i="18" l="1"/>
  <c r="F26" i="18"/>
  <c r="I30" i="3"/>
  <c r="H30" i="3"/>
  <c r="J30" i="3"/>
  <c r="G30" i="3"/>
  <c r="G5" i="3"/>
  <c r="F77" i="3"/>
  <c r="F21" i="3"/>
  <c r="F51" i="3"/>
  <c r="F32" i="3"/>
  <c r="F63" i="3"/>
  <c r="F69" i="3"/>
  <c r="F13" i="12"/>
  <c r="F21" i="12" s="1"/>
  <c r="E13" i="12"/>
  <c r="E21" i="12" s="1"/>
  <c r="H5" i="18" l="1"/>
  <c r="G26" i="18"/>
  <c r="H5" i="3"/>
  <c r="G77" i="3"/>
  <c r="G51" i="3"/>
  <c r="G32" i="3"/>
  <c r="G63" i="3"/>
  <c r="G69" i="3"/>
  <c r="G21" i="3"/>
  <c r="E28" i="12"/>
  <c r="F28" i="12"/>
  <c r="I5" i="18" l="1"/>
  <c r="H26" i="18"/>
  <c r="I5" i="3"/>
  <c r="H77" i="3"/>
  <c r="H69" i="3"/>
  <c r="H21" i="3"/>
  <c r="H51" i="3"/>
  <c r="H32" i="3"/>
  <c r="H63" i="3"/>
  <c r="J61" i="3"/>
  <c r="J22" i="1" s="1"/>
  <c r="I61" i="3"/>
  <c r="I22" i="1" s="1"/>
  <c r="G61" i="3"/>
  <c r="G22" i="1" s="1"/>
  <c r="H61" i="3"/>
  <c r="H22" i="1" s="1"/>
  <c r="E31" i="12"/>
  <c r="E84" i="3" s="1"/>
  <c r="E85" i="3" s="1"/>
  <c r="F31" i="12"/>
  <c r="F84" i="3" l="1"/>
  <c r="F85" i="3" s="1"/>
  <c r="B9" i="24" s="1"/>
  <c r="J5" i="18"/>
  <c r="I26" i="18"/>
  <c r="J5" i="3"/>
  <c r="I77" i="3"/>
  <c r="I51" i="3"/>
  <c r="I21" i="3"/>
  <c r="I63" i="3"/>
  <c r="I69" i="3"/>
  <c r="I32" i="3"/>
  <c r="K61" i="3"/>
  <c r="K22" i="1" s="1"/>
  <c r="J26" i="18" l="1"/>
  <c r="K5" i="18"/>
  <c r="K5" i="3"/>
  <c r="J77" i="3"/>
  <c r="J32" i="3"/>
  <c r="J21" i="3"/>
  <c r="J51" i="3"/>
  <c r="J63" i="3"/>
  <c r="J69" i="3"/>
  <c r="K26" i="18" l="1"/>
  <c r="K77" i="3"/>
  <c r="K63" i="3"/>
  <c r="K32" i="3"/>
  <c r="K69" i="3"/>
  <c r="K51" i="3"/>
  <c r="K21" i="3"/>
  <c r="F9" i="1" l="1"/>
  <c r="F17" i="1" s="1"/>
  <c r="F29" i="1" s="1"/>
  <c r="G9" i="3"/>
  <c r="F32" i="1" l="1"/>
  <c r="F18" i="18"/>
  <c r="F24" i="18"/>
  <c r="F13" i="18"/>
  <c r="F8" i="18"/>
  <c r="F30" i="18"/>
  <c r="F28" i="18"/>
  <c r="F29" i="18"/>
  <c r="F40" i="18"/>
  <c r="F35" i="18"/>
  <c r="F15" i="18"/>
  <c r="AJ12" i="19" s="1"/>
  <c r="F32" i="18"/>
  <c r="F34" i="18"/>
  <c r="F33" i="18"/>
  <c r="F41" i="18"/>
  <c r="F42" i="18"/>
  <c r="F43" i="18"/>
  <c r="F46" i="18"/>
  <c r="G11" i="3"/>
  <c r="G10" i="18"/>
  <c r="AK6" i="19" s="1"/>
  <c r="H9" i="3"/>
  <c r="G7" i="1" l="1"/>
  <c r="AK8" i="19" s="1"/>
  <c r="G19" i="3"/>
  <c r="F19" i="18"/>
  <c r="F36" i="18"/>
  <c r="H11" i="3"/>
  <c r="H10" i="18"/>
  <c r="AL6" i="19" s="1"/>
  <c r="G41" i="3"/>
  <c r="G44" i="3" s="1"/>
  <c r="I9" i="3"/>
  <c r="G14" i="1" l="1"/>
  <c r="G46" i="3"/>
  <c r="G47" i="3" s="1"/>
  <c r="G49" i="3" s="1"/>
  <c r="G66" i="3" s="1"/>
  <c r="H7" i="1"/>
  <c r="AL8" i="19" s="1"/>
  <c r="H19" i="3"/>
  <c r="F33" i="1"/>
  <c r="F20" i="18" s="1"/>
  <c r="F38" i="18"/>
  <c r="G11" i="1"/>
  <c r="I11" i="3"/>
  <c r="I10" i="18"/>
  <c r="AM6" i="19" s="1"/>
  <c r="H41" i="3"/>
  <c r="H44" i="3" s="1"/>
  <c r="J9" i="3"/>
  <c r="AJ16" i="19"/>
  <c r="F23" i="1"/>
  <c r="F44" i="18" s="1"/>
  <c r="H14" i="1" l="1"/>
  <c r="H46" i="3"/>
  <c r="H47" i="3" s="1"/>
  <c r="H49" i="3" s="1"/>
  <c r="H66" i="3" s="1"/>
  <c r="G14" i="18"/>
  <c r="AK11" i="19"/>
  <c r="I19" i="3"/>
  <c r="I7" i="1"/>
  <c r="AM8" i="19" s="1"/>
  <c r="G9" i="1"/>
  <c r="G8" i="18" s="1"/>
  <c r="J11" i="3"/>
  <c r="J10" i="18"/>
  <c r="AN6" i="19" s="1"/>
  <c r="I41" i="3"/>
  <c r="I44" i="3" s="1"/>
  <c r="F65" i="3"/>
  <c r="H11" i="1"/>
  <c r="H9" i="1"/>
  <c r="H8" i="18" s="1"/>
  <c r="K9" i="3"/>
  <c r="F26" i="1"/>
  <c r="I14" i="1" l="1"/>
  <c r="I46" i="3"/>
  <c r="I47" i="3" s="1"/>
  <c r="I49" i="3" s="1"/>
  <c r="I66" i="3" s="1"/>
  <c r="H14" i="18"/>
  <c r="H15" i="1"/>
  <c r="H17" i="1" s="1"/>
  <c r="H29" i="1" s="1"/>
  <c r="H28" i="18"/>
  <c r="H13" i="18"/>
  <c r="G32" i="18"/>
  <c r="G13" i="18"/>
  <c r="G15" i="18"/>
  <c r="AK12" i="19" s="1"/>
  <c r="G30" i="18"/>
  <c r="G40" i="18"/>
  <c r="G42" i="18"/>
  <c r="G35" i="18"/>
  <c r="G29" i="18"/>
  <c r="G41" i="18"/>
  <c r="G43" i="18"/>
  <c r="G28" i="18"/>
  <c r="AL11" i="19"/>
  <c r="H32" i="18"/>
  <c r="H15" i="18"/>
  <c r="AL12" i="19" s="1"/>
  <c r="H34" i="18"/>
  <c r="H30" i="18"/>
  <c r="H42" i="18"/>
  <c r="H40" i="18"/>
  <c r="H35" i="18"/>
  <c r="H29" i="18"/>
  <c r="H33" i="18"/>
  <c r="H41" i="18"/>
  <c r="H43" i="18"/>
  <c r="J19" i="3"/>
  <c r="J7" i="1"/>
  <c r="AN8" i="19" s="1"/>
  <c r="G34" i="18"/>
  <c r="F34" i="1"/>
  <c r="F21" i="18" s="1"/>
  <c r="AJ14" i="19" s="1"/>
  <c r="F47" i="18"/>
  <c r="K11" i="3"/>
  <c r="K10" i="18"/>
  <c r="AO6" i="19" s="1"/>
  <c r="J41" i="3"/>
  <c r="J44" i="3" s="1"/>
  <c r="I9" i="1"/>
  <c r="I8" i="18" s="1"/>
  <c r="F80" i="3"/>
  <c r="F81" i="3" s="1"/>
  <c r="AJ13" i="19"/>
  <c r="H32" i="1" l="1"/>
  <c r="H19" i="18" s="1"/>
  <c r="H18" i="18"/>
  <c r="H24" i="18"/>
  <c r="J14" i="1"/>
  <c r="J46" i="3"/>
  <c r="J47" i="3" s="1"/>
  <c r="J49" i="3" s="1"/>
  <c r="I28" i="18"/>
  <c r="I13" i="18"/>
  <c r="H36" i="18"/>
  <c r="I34" i="18"/>
  <c r="I30" i="18"/>
  <c r="I42" i="18"/>
  <c r="I40" i="18"/>
  <c r="I35" i="18"/>
  <c r="I29" i="18"/>
  <c r="I33" i="18"/>
  <c r="I41" i="18"/>
  <c r="I43" i="18"/>
  <c r="K19" i="3"/>
  <c r="K7" i="1"/>
  <c r="AO8" i="19" s="1"/>
  <c r="I11" i="1"/>
  <c r="K41" i="3"/>
  <c r="K44" i="3" s="1"/>
  <c r="J11" i="1"/>
  <c r="F4" i="3"/>
  <c r="G12" i="1"/>
  <c r="G15" i="1" s="1"/>
  <c r="G17" i="1" s="1"/>
  <c r="G29" i="1" s="1"/>
  <c r="G32" i="1" l="1"/>
  <c r="G18" i="18"/>
  <c r="G24" i="18"/>
  <c r="K14" i="1"/>
  <c r="K46" i="3"/>
  <c r="K47" i="3" s="1"/>
  <c r="K49" i="3" s="1"/>
  <c r="K66" i="3" s="1"/>
  <c r="I14" i="18"/>
  <c r="I15" i="1"/>
  <c r="I17" i="1" s="1"/>
  <c r="I29" i="1" s="1"/>
  <c r="J14" i="18"/>
  <c r="J15" i="1"/>
  <c r="G33" i="18"/>
  <c r="AM11" i="19"/>
  <c r="I15" i="18"/>
  <c r="AM12" i="19" s="1"/>
  <c r="I32" i="18"/>
  <c r="AN11" i="19"/>
  <c r="J9" i="1"/>
  <c r="J8" i="18" s="1"/>
  <c r="J66" i="3"/>
  <c r="K9" i="1"/>
  <c r="K8" i="18" s="1"/>
  <c r="K11" i="1"/>
  <c r="I32" i="1" l="1"/>
  <c r="I19" i="18" s="1"/>
  <c r="I18" i="18"/>
  <c r="I24" i="18"/>
  <c r="J17" i="1"/>
  <c r="J29" i="1" s="1"/>
  <c r="K14" i="18"/>
  <c r="K15" i="1"/>
  <c r="K17" i="1" s="1"/>
  <c r="K29" i="1" s="1"/>
  <c r="G19" i="18"/>
  <c r="G36" i="18"/>
  <c r="J15" i="18"/>
  <c r="AN12" i="19" s="1"/>
  <c r="J13" i="18"/>
  <c r="K28" i="18"/>
  <c r="K13" i="18"/>
  <c r="I36" i="18"/>
  <c r="K32" i="18"/>
  <c r="K15" i="18"/>
  <c r="AO12" i="19" s="1"/>
  <c r="AO11" i="19"/>
  <c r="J30" i="18"/>
  <c r="J42" i="18"/>
  <c r="J40" i="18"/>
  <c r="J35" i="18"/>
  <c r="J29" i="18"/>
  <c r="J33" i="18"/>
  <c r="J41" i="18"/>
  <c r="J43" i="18"/>
  <c r="J28" i="18"/>
  <c r="J32" i="18"/>
  <c r="K30" i="18"/>
  <c r="K40" i="18"/>
  <c r="K42" i="18"/>
  <c r="K35" i="18"/>
  <c r="K33" i="18"/>
  <c r="K29" i="18"/>
  <c r="K41" i="18"/>
  <c r="K43" i="18"/>
  <c r="K34" i="18"/>
  <c r="J34" i="18"/>
  <c r="E9" i="1"/>
  <c r="E17" i="1" s="1"/>
  <c r="E29" i="1" s="1"/>
  <c r="E32" i="1" l="1"/>
  <c r="E18" i="18"/>
  <c r="E24" i="18"/>
  <c r="K32" i="1"/>
  <c r="K19" i="18" s="1"/>
  <c r="K18" i="18"/>
  <c r="K24" i="18"/>
  <c r="J32" i="1"/>
  <c r="J19" i="18" s="1"/>
  <c r="J18" i="18"/>
  <c r="J24" i="18"/>
  <c r="E13" i="18"/>
  <c r="E8" i="18"/>
  <c r="J36" i="18"/>
  <c r="K36" i="18"/>
  <c r="E30" i="18"/>
  <c r="E28" i="18"/>
  <c r="E29" i="18"/>
  <c r="E40" i="18"/>
  <c r="E35" i="18"/>
  <c r="E32" i="18"/>
  <c r="E34" i="18"/>
  <c r="E15" i="18"/>
  <c r="AI12" i="19" s="1"/>
  <c r="E33" i="18"/>
  <c r="E41" i="18"/>
  <c r="E42" i="18"/>
  <c r="E43" i="18"/>
  <c r="E46" i="18"/>
  <c r="E36" i="18" l="1"/>
  <c r="E19" i="18"/>
  <c r="E38" i="18" l="1"/>
  <c r="E33" i="1"/>
  <c r="E20" i="18" s="1"/>
  <c r="E23" i="1"/>
  <c r="E44" i="18" s="1"/>
  <c r="AI16" i="19"/>
  <c r="E65" i="3" l="1"/>
  <c r="E26" i="1"/>
  <c r="E47" i="18" l="1"/>
  <c r="E34" i="1"/>
  <c r="E21" i="18" s="1"/>
  <c r="AI14" i="19" s="1"/>
  <c r="AI13" i="19"/>
  <c r="E80" i="3"/>
  <c r="E81" i="3" s="1"/>
  <c r="E4" i="3" l="1"/>
  <c r="G33" i="1" l="1"/>
  <c r="G20" i="18" s="1"/>
  <c r="G38" i="18"/>
  <c r="G23" i="1" l="1"/>
  <c r="G44" i="18" s="1"/>
  <c r="AK16" i="19"/>
  <c r="G67" i="3" l="1"/>
  <c r="G71" i="3" l="1"/>
  <c r="H33" i="1"/>
  <c r="H20" i="18" s="1"/>
  <c r="H38" i="18"/>
  <c r="G25" i="1"/>
  <c r="G46" i="18" s="1"/>
  <c r="AL16" i="19"/>
  <c r="G75" i="3" l="1"/>
  <c r="G79" i="3"/>
  <c r="G74" i="3"/>
  <c r="G26" i="1"/>
  <c r="H23" i="1"/>
  <c r="H44" i="18" s="1"/>
  <c r="I33" i="1" l="1"/>
  <c r="I20" i="18" s="1"/>
  <c r="I38" i="18"/>
  <c r="G47" i="18"/>
  <c r="G34" i="1"/>
  <c r="G21" i="18" s="1"/>
  <c r="AK14" i="19" s="1"/>
  <c r="H67" i="3"/>
  <c r="AK13" i="19"/>
  <c r="G80" i="3"/>
  <c r="G81" i="3" s="1"/>
  <c r="H71" i="3" l="1"/>
  <c r="G4" i="3"/>
  <c r="AM16" i="19"/>
  <c r="H25" i="1"/>
  <c r="H46" i="18" s="1"/>
  <c r="I23" i="1"/>
  <c r="I44" i="18" s="1"/>
  <c r="H79" i="3" l="1"/>
  <c r="H74" i="3"/>
  <c r="H75" i="3"/>
  <c r="J38" i="18"/>
  <c r="J33" i="1"/>
  <c r="J20" i="18" s="1"/>
  <c r="I67" i="3"/>
  <c r="H26" i="1"/>
  <c r="I71" i="3" l="1"/>
  <c r="H47" i="18"/>
  <c r="H34" i="1"/>
  <c r="H21" i="18" s="1"/>
  <c r="AL14" i="19" s="1"/>
  <c r="AL13" i="19"/>
  <c r="H80" i="3"/>
  <c r="H81" i="3" s="1"/>
  <c r="J23" i="1"/>
  <c r="J44" i="18" s="1"/>
  <c r="AN16" i="19"/>
  <c r="I25" i="1"/>
  <c r="I46" i="18" s="1"/>
  <c r="I74" i="3" l="1"/>
  <c r="I75" i="3"/>
  <c r="I79" i="3"/>
  <c r="K33" i="1"/>
  <c r="K20" i="18" s="1"/>
  <c r="K38" i="18"/>
  <c r="J67" i="3"/>
  <c r="H4" i="3"/>
  <c r="I26" i="1"/>
  <c r="J71" i="3" l="1"/>
  <c r="I47" i="18"/>
  <c r="I34" i="1"/>
  <c r="I21" i="18" s="1"/>
  <c r="AM14" i="19" s="1"/>
  <c r="AM13" i="19"/>
  <c r="J25" i="1"/>
  <c r="J46" i="18" s="1"/>
  <c r="K23" i="1"/>
  <c r="K44" i="18" s="1"/>
  <c r="AO16" i="19"/>
  <c r="I80" i="3"/>
  <c r="I81" i="3" s="1"/>
  <c r="J75" i="3" l="1"/>
  <c r="J79" i="3"/>
  <c r="J74" i="3"/>
  <c r="K67" i="3"/>
  <c r="I4" i="3"/>
  <c r="J26" i="1"/>
  <c r="K71" i="3" l="1"/>
  <c r="J47" i="18"/>
  <c r="J34" i="1"/>
  <c r="J21" i="18" s="1"/>
  <c r="AN14" i="19" s="1"/>
  <c r="AN13" i="19"/>
  <c r="J80" i="3"/>
  <c r="J81" i="3" s="1"/>
  <c r="K25" i="1"/>
  <c r="K46" i="18" s="1"/>
  <c r="K79" i="3" l="1"/>
  <c r="K74" i="3"/>
  <c r="K75" i="3"/>
  <c r="J4" i="3"/>
  <c r="K26" i="1"/>
  <c r="K47" i="18" l="1"/>
  <c r="K34" i="1"/>
  <c r="K21" i="18" s="1"/>
  <c r="AO14" i="19" s="1"/>
  <c r="AO13" i="19"/>
  <c r="K80" i="3"/>
  <c r="K81" i="3" s="1"/>
  <c r="B8" i="24" s="1"/>
  <c r="B5" i="24" s="1"/>
  <c r="H2" i="3" l="1"/>
  <c r="H2" i="12"/>
  <c r="P2" i="18"/>
  <c r="O2" i="1"/>
  <c r="Y2" i="19"/>
  <c r="K4" i="3"/>
</calcChain>
</file>

<file path=xl/sharedStrings.xml><?xml version="1.0" encoding="utf-8"?>
<sst xmlns="http://schemas.openxmlformats.org/spreadsheetml/2006/main" count="257" uniqueCount="207">
  <si>
    <t>Overige opbrengsten</t>
  </si>
  <si>
    <t>Totale opbrengsten</t>
  </si>
  <si>
    <t>Meerjarenplanning</t>
  </si>
  <si>
    <t>Personeelskosten</t>
  </si>
  <si>
    <t>Afschrijvingen</t>
  </si>
  <si>
    <t>Resultaat voor belastingen</t>
  </si>
  <si>
    <t>Belastingen</t>
  </si>
  <si>
    <t>Bedragen in EUR x 1.000 (tenzij anders vermeld)</t>
  </si>
  <si>
    <t>Check</t>
  </si>
  <si>
    <t>Bedragen in EUR x 1.000</t>
  </si>
  <si>
    <t>Naar RR</t>
  </si>
  <si>
    <t>KnowYourFinance©</t>
  </si>
  <si>
    <t>EBITDA</t>
  </si>
  <si>
    <t>Belastingtarief</t>
  </si>
  <si>
    <t>Resultatenrekening</t>
  </si>
  <si>
    <t>Aanname: vaste jaarlijkse % stijging</t>
  </si>
  <si>
    <t>FTE</t>
  </si>
  <si>
    <t>Verkoopresultaat vaste activa</t>
  </si>
  <si>
    <t>Financiële baten</t>
  </si>
  <si>
    <t>Financiële lasten</t>
  </si>
  <si>
    <t>Dividend uitkering</t>
  </si>
  <si>
    <t>Invoeren met minteken (-/-)</t>
  </si>
  <si>
    <t>EBITDA %</t>
  </si>
  <si>
    <t>EBIT %</t>
  </si>
  <si>
    <t>Resultaat %</t>
  </si>
  <si>
    <t>Optelling in huidige sheet</t>
  </si>
  <si>
    <t>Check moet nul zijn</t>
  </si>
  <si>
    <t>Common-size Resultatenrekening</t>
  </si>
  <si>
    <t>Afkortingen</t>
  </si>
  <si>
    <t>EBIT</t>
  </si>
  <si>
    <t>Dividend payout ratio</t>
  </si>
  <si>
    <t>RR</t>
  </si>
  <si>
    <t>Ratio's</t>
  </si>
  <si>
    <t>Liquiditeit:</t>
  </si>
  <si>
    <t>Interest coverage ratio</t>
  </si>
  <si>
    <t>= EBITDA / financiële lasten</t>
  </si>
  <si>
    <t>Resultaat:</t>
  </si>
  <si>
    <t>Operationeel:</t>
  </si>
  <si>
    <t>Gemiddelde personeelskosten per FTE</t>
  </si>
  <si>
    <t>Personeelskosten als % van opbrengsten</t>
  </si>
  <si>
    <t>= Resultaat / Opbrengsten</t>
  </si>
  <si>
    <t>= EBIT / Opbrengsten</t>
  </si>
  <si>
    <t>= EBITDA / Opbrengsten</t>
  </si>
  <si>
    <t>Als % van total opbrengsten</t>
  </si>
  <si>
    <t>Totale opbrengsten = 100%</t>
  </si>
  <si>
    <t>Dashboard</t>
  </si>
  <si>
    <t>Operationeel</t>
  </si>
  <si>
    <t>Resultaat</t>
  </si>
  <si>
    <t>Brondata</t>
  </si>
  <si>
    <t>Overige</t>
  </si>
  <si>
    <t>ICR</t>
  </si>
  <si>
    <t>Balans en Resultatenrekening bedragen x € 1.000</t>
  </si>
  <si>
    <t>Praktisch gebruik</t>
  </si>
  <si>
    <t>Jaaraanduidingen in de kolommen, met R = realisatie/werkelijke cijfers en P = Prognose/verwachting</t>
  </si>
  <si>
    <t>+/- notatie op basis van resultaatimpact: + = positieve bijdrage aan resultaat; - = negatieve bijdrage aan resultaat</t>
  </si>
  <si>
    <t>Bedragen in zwarte tekst zijn formules/berekende waarden</t>
  </si>
  <si>
    <t>In het model worden enkele Engelstalige termen gebruikt, slechts alleen indien dit zinvol is gezien de gebruikelijke terminologie</t>
  </si>
  <si>
    <t>Voor het invoegen van een nieuw jaar, ga als volgt te werk:</t>
  </si>
  <si>
    <t>Veel uitgangspunten en berekeningen zijn weergegeven bij de betreffende invoer- of weergavevelden, of kunnen worden afgeleid op basis van de gehanteerde formules en presentaties</t>
  </si>
  <si>
    <t>Toelichtingen bij model</t>
  </si>
  <si>
    <t>Bepalingen voor gebruik</t>
  </si>
  <si>
    <t>Niet-operationele baten/lasten</t>
  </si>
  <si>
    <t>EBIT%</t>
  </si>
  <si>
    <t>Netto resultaat</t>
  </si>
  <si>
    <t>Opbrengsten (p*q) productgroep 1</t>
  </si>
  <si>
    <t>Gemiddelde prijsstijging</t>
  </si>
  <si>
    <t>Gemiddelde prijsstijging per prognosejaar</t>
  </si>
  <si>
    <t>Invoer per jaar</t>
  </si>
  <si>
    <t>Gemiddelde prijs (q) (in €)</t>
  </si>
  <si>
    <t>Gemiddelde prijs in euro</t>
  </si>
  <si>
    <t>Gemiddelde jaarlijkse stijging</t>
  </si>
  <si>
    <t>Personeelskosten functiegroep 1</t>
  </si>
  <si>
    <t>Aantal fte</t>
  </si>
  <si>
    <t>Variabele kosten % van opbrengsten</t>
  </si>
  <si>
    <t>Afschrijvingslasten</t>
  </si>
  <si>
    <t>Kopie uit RR</t>
  </si>
  <si>
    <t>Financieel + Niet-operationeel resultaat</t>
  </si>
  <si>
    <t>Dividend uitkering (-/-) invoer</t>
  </si>
  <si>
    <t>Resultaat na dividend</t>
  </si>
  <si>
    <t>Aantal producten</t>
  </si>
  <si>
    <t>Gem verkoopprijs</t>
  </si>
  <si>
    <t>Productgroep</t>
  </si>
  <si>
    <t>- Pas de dashboard brongegevens aan om te linken naar de juiste jaren</t>
  </si>
  <si>
    <t>Earnings before Interest Depreciation &amp; Amortizion = Bedrijfsresultaat exclusief afschrijvingen</t>
  </si>
  <si>
    <t>MJP</t>
  </si>
  <si>
    <t>Full Time Equivalent = opgetelde dienstverbanden uitgedrukt in aantal volledige dienstverbanden</t>
  </si>
  <si>
    <t>EUR</t>
  </si>
  <si>
    <t>Euro</t>
  </si>
  <si>
    <t>R</t>
  </si>
  <si>
    <t>Realisatie</t>
  </si>
  <si>
    <t>P</t>
  </si>
  <si>
    <t>Prognose</t>
  </si>
  <si>
    <t>p</t>
  </si>
  <si>
    <t>Kleine letter p = prijs</t>
  </si>
  <si>
    <t>q</t>
  </si>
  <si>
    <t>Kleine letter q = aantal</t>
  </si>
  <si>
    <t>De opbrengsten worden bepaald volgens de p * q methode: gemiddelde verkoopprijs (p) * verkoopaantallen (q)</t>
  </si>
  <si>
    <t>Totaal aantal fte (gemiddeld per jaar!)</t>
  </si>
  <si>
    <t>Opbrengsten p*q</t>
  </si>
  <si>
    <t>Gemiddelde stijging structurele overige opbrengsten per prognosejaar</t>
  </si>
  <si>
    <t>Als % van opbrengsten (p*q) productgroep 1</t>
  </si>
  <si>
    <t>Earnings before interest &amp; tax</t>
  </si>
  <si>
    <t>Op basis van totale opbrengsten</t>
  </si>
  <si>
    <t>Personeelskosten%</t>
  </si>
  <si>
    <t>Tevens kunnen structurele en incidentele overige opbrengsten worden toegevoegd</t>
  </si>
  <si>
    <t>Aantal producten/diensten (p)</t>
  </si>
  <si>
    <t>Diverse assen van de grafieken in het dashboard zijn handmatig begrensd met een maximum en minumum waarde om de leesbaarheid te vergroten. Pas indien nodig de assen aan na invoer van de gegevens.</t>
  </si>
  <si>
    <t>Opbrengsten</t>
  </si>
  <si>
    <t>Opbrengsten kan uitgebreid worden naar meerdere productgroepen</t>
  </si>
  <si>
    <t>Overige personeelskosten</t>
  </si>
  <si>
    <t>Gemiddelde opbrengsten per FTE</t>
  </si>
  <si>
    <t>Aantal producten (eenheden)</t>
  </si>
  <si>
    <t>Algemeen</t>
  </si>
  <si>
    <t>Invoer</t>
  </si>
  <si>
    <t>Invoegen van nieuw jaar</t>
  </si>
  <si>
    <t>2. Prognose RR (voor de invoer van de meerjarige prognose van de resultatenrekening)</t>
  </si>
  <si>
    <t>Rapportages:</t>
  </si>
  <si>
    <t>Personeelskosten wordt bepaald aan de hand van de formatie in fte en de gemiddelde personeelskosten per fte</t>
  </si>
  <si>
    <t>Brondata-&gt;</t>
  </si>
  <si>
    <t>Startjaar</t>
  </si>
  <si>
    <t>Het model gaat uit van 2 historische jaren</t>
  </si>
  <si>
    <t>Resultatenrekening realisatie</t>
  </si>
  <si>
    <t>2. Prognose Resultatenrekening (RR) invoer</t>
  </si>
  <si>
    <t>Resultaat na belastingen en check</t>
  </si>
  <si>
    <t>Structurele/jaarlijkse overige opbrengsten</t>
  </si>
  <si>
    <t>Incidentele overige opbrengsten</t>
  </si>
  <si>
    <t>Jaarlijkse stijging overige opbrengsten</t>
  </si>
  <si>
    <t>De invoer in de sheets kan het beste plaatsvinden in volgorde van nummering (van links naar rechts) en van boven naar beneden. De sheets Prognose RR en BS volgen de logische opbouw van de resultatenrekening en balans van boven naar beneden.</t>
  </si>
  <si>
    <t>STAP 1:</t>
  </si>
  <si>
    <t>STAP 2:</t>
  </si>
  <si>
    <t>- In sheet "RR": kopieer de kolom van het laatste prognose (P) jaar</t>
  </si>
  <si>
    <t>- Plak (noot: niet insert/invoegen!) de kolom direct naast het laatste prognose (P) jaar</t>
  </si>
  <si>
    <t>- In sheets met opmerkingen aan rechterkant: verplaats eerst de opmerkingen één kolom naar rechts</t>
  </si>
  <si>
    <t>STAP 3:</t>
  </si>
  <si>
    <t>- Pas de assen van de grafieken aan en de overige "vaste" teksten voor zover nodig</t>
  </si>
  <si>
    <t>Bedragen in grijze cellen zijn handmatige invoer- waarden</t>
  </si>
  <si>
    <t>Financiële lasten langkopende schulden</t>
  </si>
  <si>
    <t>Financiële lasten kortlopende schulden</t>
  </si>
  <si>
    <t>Fin lasten langlopende en kortlopende schulden gesplitst</t>
  </si>
  <si>
    <t>Earnings Before Interest &amp; Tax = Bedrijfsresultaat</t>
  </si>
  <si>
    <t>Gemiddelde prijsstijging personeelskosten</t>
  </si>
  <si>
    <t>Gemiddelde pers kosten per fte per jaar</t>
  </si>
  <si>
    <t>Meerdere functiegroepen (intern/extern/niveaus) toe te voegen indien relevant</t>
  </si>
  <si>
    <t>Alle fte gerelateerde personeelskosten inclusief sociale lasten/pensioen/etc</t>
  </si>
  <si>
    <t>Totale fte gerelateerde personeelskosten</t>
  </si>
  <si>
    <t>Overige personeelskosten niet fte gerelateerd</t>
  </si>
  <si>
    <t>KnowYourFinance</t>
  </si>
  <si>
    <t>U kunt contact opnemen met KnowYourFinance bij vragen over het model, of indien u klant-specifieke wensen en toepassingen heeft. We waarderen uw feedback over het model en het delen van uw gebruikservaringen. Wij nodigen u uit een email te sturen of onze webstite te bezoeken via onderstaande links.</t>
  </si>
  <si>
    <t>info@knowyourfinance.nl</t>
  </si>
  <si>
    <t>https://knowyourfinance.nl</t>
  </si>
  <si>
    <t>Model kenmerken en toepasbaarheid</t>
  </si>
  <si>
    <r>
      <t xml:space="preserve">Bedragen in </t>
    </r>
    <r>
      <rPr>
        <sz val="11"/>
        <color rgb="FF00B050"/>
        <rFont val="Calibri"/>
        <family val="2"/>
        <scheme val="minor"/>
      </rPr>
      <t>groen</t>
    </r>
    <r>
      <rPr>
        <sz val="11"/>
        <rFont val="Calibri"/>
        <family val="2"/>
        <scheme val="minor"/>
      </rPr>
      <t xml:space="preserve"> in de invoersheets zijn gelinkt vanuit een andere sheet</t>
    </r>
  </si>
  <si>
    <t>KnowYourFinance en/of de auteur kunnen niet verantwoordelijk worden gehouden voor een juiste werking van het model in uw specifieke organisatie/onderneming. Ook kunnen KnowYourFinance en/of de auteur niet aansprakelijk worden gesteld voor onjuistheden in het model. KnowYourFinance hecht veel waarde aan kwaliteit en een zinvol gebruik van het model. In het geval van gesignaleerde onjuistheden of onvolkomenheden, zal KnowYourFinance deze zo spoedig mogelijk oplossen, in afstemming met de gebruiker(s) van het model.</t>
  </si>
  <si>
    <t>KnowYourFinance en de auteur zijn niet verantwoordelijk voor besluitvorming (of achterwege blijven hiervan) op basis van het model, zowel niet in de oorspronkelijke vorm als in aangepaste vorm.</t>
  </si>
  <si>
    <r>
      <t xml:space="preserve">- Plak (noot: niet insert/invoegen!) de kolom </t>
    </r>
    <r>
      <rPr>
        <i/>
        <sz val="11"/>
        <color theme="1"/>
        <rFont val="Calibri"/>
        <family val="2"/>
        <scheme val="minor"/>
      </rPr>
      <t>over</t>
    </r>
    <r>
      <rPr>
        <sz val="11"/>
        <color theme="1"/>
        <rFont val="Calibri"/>
        <family val="2"/>
        <scheme val="minor"/>
      </rPr>
      <t xml:space="preserve"> het eerste  "Prognose" (P) jaar</t>
    </r>
  </si>
  <si>
    <t>Invoer eerste prognosejaar</t>
  </si>
  <si>
    <t>Huisvestingslasten</t>
  </si>
  <si>
    <t>Totale lasten</t>
  </si>
  <si>
    <t>Overige kosten</t>
  </si>
  <si>
    <t>Netto resultaat %</t>
  </si>
  <si>
    <t>Operationeel resultaat (EBIT)</t>
  </si>
  <si>
    <t>Gemiddelde verkoopprijs in €</t>
  </si>
  <si>
    <t>Bedragen in EUR x 1.000 tenzijn anders aangegeven</t>
  </si>
  <si>
    <t>Fte gerelateerde personeelskosten</t>
  </si>
  <si>
    <t>Huisvestingslasten (berekend)</t>
  </si>
  <si>
    <t>Incidentele huisvestingslasten (handmatig)</t>
  </si>
  <si>
    <t>Incidentele overige kosten (handmatig)</t>
  </si>
  <si>
    <t>Materiële kosten</t>
  </si>
  <si>
    <t>Totale lasten incl personeelslasten</t>
  </si>
  <si>
    <t>Overige kosten (berekend)</t>
  </si>
  <si>
    <t>Vul in deze sectie de gerealiseerde resultaten in voor de 2 realisatiejaren</t>
  </si>
  <si>
    <t>Netto Resultaat %</t>
  </si>
  <si>
    <t>Error checks</t>
  </si>
  <si>
    <t>Model checks</t>
  </si>
  <si>
    <t>Sheet</t>
  </si>
  <si>
    <t>ErrorChecks</t>
  </si>
  <si>
    <t>Master check</t>
  </si>
  <si>
    <t>2. Prognose RR</t>
  </si>
  <si>
    <t>Resultaat rapport RR en 2. Prognose RR sluiten niet aan</t>
  </si>
  <si>
    <t>Historisch resultaat in 1. Realisatie RR en BS en in 2. Prognose RR sluiten niet aan</t>
  </si>
  <si>
    <t>Netto resultaat optelling</t>
  </si>
  <si>
    <t>Kopie uit 1. Realisatie RR en BS</t>
  </si>
  <si>
    <t>Het model is generiek van opzet, dat als voorbeeld kan dienen voor de financiële planning van organisaties en ondernemingen. Het model is niet zondermeer standaard toepasbaar in uw organisatie en/of uw situatie.  Mogelijk moeten aanpassingen gedaan worden om het model te laten aansluiten op uw specifieke omstandigheden, eisen en wensen. Voldoende kennis van excel en financieel modelleren is noodzakelijk voor het aanpassen van het model, het geschikt maken voor een specifieke bedrijfssituatie en het gebruik van het model. Vraag advies van KYF over de geschiktheid, de benodigde aanpassingen en het gebruik van het model.</t>
  </si>
  <si>
    <t>Het model kan vrij gebruikt worden als aanzet voor eigen gebruik en ten behoeve van ontwikkeling van de eigen kennis.</t>
  </si>
  <si>
    <t>Het model kan gebruikt voor onderwijskundige doeleinden in klassikale onderwijsvormen en voor praktijkgerichte case studies na toestemming van KYF en onder de voorwaarde dat copyright en intellectuele eigendom van het model worden gerespecteerd.</t>
  </si>
  <si>
    <t>KnowYourFinance is intellectueel eigenaar van het model. Het is niet toegestaan in welke vorm dan ook het model of gedeelten ervan (in oorspronkelijke of aangepaste vorm) te verspreiden of te delen met derden (tegen een vergoeding noch kosteloos), met uitzondering van deling van het model ten behoeve van gebruik en kennisdeling binnen de eigen organisatie/onderneming. In alle gevallen worden de copyright en het intellectuele eigendom van het model gerespecteerd.</t>
  </si>
  <si>
    <t>KnowYourFinance heeft als doel organisaties te ondersteunen bij de financiële planning, analyse en besluitvorming en de kennis over financiële analyse, planning en modelleren praktisch beschikbaar te stellen.</t>
  </si>
  <si>
    <t>Het model bevat een afzonderelijke ErrorCheck sheet waarin alle gangbare model checks zijn weergegeven. De totale master check, als optelling van alle afzonderlijke checks, wordt in elke sheet bovenaan weergegeven.</t>
  </si>
  <si>
    <t>1. Realisatie RR</t>
  </si>
  <si>
    <t>Naar RR; kan gespecificeerd worden mbv investeringsplanning</t>
  </si>
  <si>
    <t>Voor kleinere bedragen: kan gerelateerd worden aan ontwikkeling opbrengsten</t>
  </si>
  <si>
    <t>Indien van toepassing (bijvoorbeeld eenmalige substantiële dotatie/vrijval voorzieningen)</t>
  </si>
  <si>
    <t>Te specificeren vanuit leningenoverzicht</t>
  </si>
  <si>
    <t>Bij kleinere bedragen: kan gerelateerd worden aan ontwikkeling opbrengsten</t>
  </si>
  <si>
    <t>Netto resultaat vanuit 1. Realisatie RR</t>
  </si>
  <si>
    <r>
      <rPr>
        <b/>
        <sz val="11"/>
        <rFont val="Calibri"/>
        <family val="2"/>
        <scheme val="minor"/>
      </rPr>
      <t>Model type:</t>
    </r>
    <r>
      <rPr>
        <sz val="11"/>
        <rFont val="Calibri"/>
        <family val="2"/>
        <scheme val="minor"/>
      </rPr>
      <t xml:space="preserve"> Meerjarenplanning resultatenrekening plus optionele consolidatie van organisatieonderdelen</t>
    </r>
  </si>
  <si>
    <r>
      <rPr>
        <b/>
        <sz val="11"/>
        <rFont val="Calibri"/>
        <family val="2"/>
        <scheme val="minor"/>
      </rPr>
      <t>Toepassing:</t>
    </r>
    <r>
      <rPr>
        <sz val="11"/>
        <rFont val="Calibri"/>
        <family val="2"/>
        <scheme val="minor"/>
      </rPr>
      <t xml:space="preserve"> Het model dient als voorbeeld voor de financiële meerjarenplanning van resultaten van vele typen ondernemingen en organisaties, inclusief planning van gemiddelde fte aantallen</t>
    </r>
  </si>
  <si>
    <r>
      <rPr>
        <b/>
        <sz val="11"/>
        <rFont val="Calibri"/>
        <family val="2"/>
        <scheme val="minor"/>
      </rPr>
      <t>Minder geschikt voor:</t>
    </r>
    <r>
      <rPr>
        <sz val="11"/>
        <rFont val="Calibri"/>
        <family val="2"/>
        <scheme val="minor"/>
      </rPr>
      <t xml:space="preserve"> Het model geeft in de huidige vorm geen brutomarge weer. Voor organisaties en ondernemingen die werken met een brutomarge dient het model aangepast te worden. U kunt dit zelf aanpassen of u kunt KnowYourFinance hiervoor vragen. Het model bevat alleen de resultatenrekening. Voor planning van de balans en kasstroomoverzicht verwijzen we naar het uitgebreidere model Meerjarenplanning compleet op de website</t>
    </r>
  </si>
  <si>
    <t>Het model sluit aan bij de essentiële componenten in de financiële bedrijfsvoering: aantal verkopen, gemiddelde verkoopprijs, fte, gemiddelde personeelskosten en overige (variabele) kosten.</t>
  </si>
  <si>
    <t>Materiële kosten zijn opgedeeld naar afschrijvingslasten, huisvestingslasten en overige kosten.</t>
  </si>
  <si>
    <t>Er zijn 2 invoer sheets, in sheets rechts van INVOER-&gt;:</t>
  </si>
  <si>
    <t>1. Realisatie RR (voor invoer van het startjaar en de invoer van de historische jaren)</t>
  </si>
  <si>
    <t>De sheets Dashboard, RR en Ratio's zijn output sheets en bevatten de rapportages en overzichten. In de output sheets vindt geen invoer plaats.</t>
  </si>
  <si>
    <t>- In sheet 1. Realisatie RR: kopieer de kolom van het laatste "realisatie" (R) jaar</t>
  </si>
  <si>
    <t>- Doe hetzelfde voor de invoer sheet 2. Prognose RR</t>
  </si>
  <si>
    <t>- Doe hetzelfde voor de overige sheets (Ratios en de invoersheets), behalve voor het Dashboard</t>
  </si>
  <si>
    <t>- In sheet "Dashboard", in de brondata aan de rechterkant: kopieer het laatste P jaar en plak de kolom direct naast het laatste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</si>
</sst>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 #,##0.0_ ;_ * \-#,##0.0_ ;_ * &quot;-&quot;??_ ;_ @_ "/>
    <numFmt numFmtId="165" formatCode="0.0"/>
    <numFmt numFmtId="166" formatCode="#,##0.0"/>
    <numFmt numFmtId="167" formatCode="0.0%"/>
    <numFmt numFmtId="168" formatCode="&quot;€&quot;\ #,##0;\-&quot;€&quot;\ #,##0;\-"/>
  </numFmts>
  <fonts count="40" x14ac:knownFonts="1">
    <font>
      <sz val="11"/>
      <color theme="1"/>
      <name val="Calibri"/>
      <family val="2"/>
      <scheme val="minor"/>
    </font>
    <font>
      <b/>
      <sz val="11"/>
      <color theme="1"/>
      <name val="Calibri"/>
      <family val="2"/>
      <scheme val="minor"/>
    </font>
    <font>
      <sz val="11"/>
      <color theme="0"/>
      <name val="Calibri"/>
      <family val="2"/>
      <scheme val="minor"/>
    </font>
    <font>
      <b/>
      <sz val="11"/>
      <color theme="0"/>
      <name val="Calibri"/>
      <family val="2"/>
      <scheme val="minor"/>
    </font>
    <font>
      <i/>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sz val="9"/>
      <color theme="1"/>
      <name val="Calibri"/>
      <family val="2"/>
      <scheme val="minor"/>
    </font>
    <font>
      <sz val="11"/>
      <color theme="1"/>
      <name val="Calibri"/>
      <family val="2"/>
    </font>
    <font>
      <i/>
      <sz val="9"/>
      <color theme="1"/>
      <name val="Calibri"/>
      <family val="2"/>
      <scheme val="minor"/>
    </font>
    <font>
      <b/>
      <sz val="12"/>
      <color theme="1"/>
      <name val="Calibri"/>
      <family val="2"/>
      <scheme val="minor"/>
    </font>
    <font>
      <i/>
      <sz val="9"/>
      <color theme="0"/>
      <name val="Calibri"/>
      <family val="2"/>
      <scheme val="minor"/>
    </font>
    <font>
      <b/>
      <sz val="12"/>
      <name val="Calibri"/>
      <family val="2"/>
      <scheme val="minor"/>
    </font>
    <font>
      <i/>
      <sz val="9"/>
      <name val="Calibri"/>
      <family val="2"/>
      <scheme val="minor"/>
    </font>
    <font>
      <i/>
      <sz val="8"/>
      <color theme="1"/>
      <name val="Calibri"/>
      <family val="2"/>
      <scheme val="minor"/>
    </font>
    <font>
      <b/>
      <sz val="9"/>
      <name val="Calibri"/>
      <family val="2"/>
      <scheme val="minor"/>
    </font>
    <font>
      <sz val="9"/>
      <name val="Calibri"/>
      <family val="2"/>
      <scheme val="minor"/>
    </font>
    <font>
      <sz val="11"/>
      <name val="Calibri"/>
      <family val="2"/>
    </font>
    <font>
      <sz val="10"/>
      <color theme="1"/>
      <name val="Calibri"/>
      <family val="2"/>
      <scheme val="minor"/>
    </font>
    <font>
      <b/>
      <sz val="10"/>
      <color theme="1"/>
      <name val="Calibri"/>
      <family val="2"/>
      <scheme val="minor"/>
    </font>
    <font>
      <b/>
      <sz val="10"/>
      <color theme="0"/>
      <name val="Calibri"/>
      <family val="2"/>
      <scheme val="minor"/>
    </font>
    <font>
      <i/>
      <sz val="10"/>
      <color theme="1"/>
      <name val="Calibri"/>
      <family val="2"/>
      <scheme val="minor"/>
    </font>
    <font>
      <sz val="10"/>
      <color theme="0" tint="-0.249977111117893"/>
      <name val="Calibri"/>
      <family val="2"/>
      <scheme val="minor"/>
    </font>
    <font>
      <sz val="10"/>
      <name val="Calibri"/>
      <family val="2"/>
      <scheme val="minor"/>
    </font>
    <font>
      <sz val="10"/>
      <color theme="1" tint="0.499984740745262"/>
      <name val="Calibri"/>
      <family val="2"/>
      <scheme val="minor"/>
    </font>
    <font>
      <b/>
      <sz val="10"/>
      <name val="Calibri"/>
      <family val="2"/>
      <scheme val="minor"/>
    </font>
    <font>
      <i/>
      <sz val="11"/>
      <name val="Calibri"/>
      <family val="2"/>
      <scheme val="minor"/>
    </font>
    <font>
      <i/>
      <sz val="9"/>
      <color theme="1" tint="0.499984740745262"/>
      <name val="Calibri"/>
      <family val="2"/>
      <scheme val="minor"/>
    </font>
    <font>
      <b/>
      <sz val="10"/>
      <color rgb="FF00B050"/>
      <name val="Calibri"/>
      <family val="2"/>
      <scheme val="minor"/>
    </font>
    <font>
      <sz val="10"/>
      <color rgb="FF00B050"/>
      <name val="Calibri"/>
      <family val="2"/>
      <scheme val="minor"/>
    </font>
    <font>
      <i/>
      <sz val="10"/>
      <name val="Calibri"/>
      <family val="2"/>
      <scheme val="minor"/>
    </font>
    <font>
      <u/>
      <sz val="10"/>
      <color theme="1"/>
      <name val="Calibri"/>
      <family val="2"/>
      <scheme val="minor"/>
    </font>
    <font>
      <u/>
      <sz val="10"/>
      <name val="Calibri"/>
      <family val="2"/>
      <scheme val="minor"/>
    </font>
    <font>
      <b/>
      <i/>
      <sz val="10"/>
      <color theme="1"/>
      <name val="Calibri"/>
      <family val="2"/>
      <scheme val="minor"/>
    </font>
    <font>
      <u/>
      <sz val="11"/>
      <color theme="10"/>
      <name val="Calibri"/>
      <family val="2"/>
      <scheme val="minor"/>
    </font>
    <font>
      <sz val="11"/>
      <color theme="1"/>
      <name val="Segoe UI"/>
      <family val="2"/>
    </font>
    <font>
      <b/>
      <u/>
      <sz val="11"/>
      <color theme="9"/>
      <name val="Calibri"/>
      <family val="2"/>
      <scheme val="minor"/>
    </font>
    <font>
      <sz val="11"/>
      <color rgb="FF00B050"/>
      <name val="Calibri"/>
      <family val="2"/>
      <scheme val="minor"/>
    </font>
    <font>
      <b/>
      <sz val="10"/>
      <color theme="0" tint="-0.1499984740745262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2" tint="-9.9978637043366805E-2"/>
        <bgColor indexed="64"/>
      </patternFill>
    </fill>
  </fills>
  <borders count="6">
    <border>
      <left/>
      <right/>
      <top/>
      <bottom/>
      <diagonal/>
    </border>
    <border>
      <left/>
      <right style="thin">
        <color theme="0"/>
      </right>
      <top/>
      <bottom/>
      <diagonal/>
    </border>
    <border>
      <left/>
      <right/>
      <top style="thin">
        <color indexed="64"/>
      </top>
      <bottom/>
      <diagonal/>
    </border>
    <border>
      <left/>
      <right/>
      <top style="thin">
        <color indexed="64"/>
      </top>
      <bottom style="double">
        <color indexed="64"/>
      </bottom>
      <diagonal/>
    </border>
    <border>
      <left/>
      <right/>
      <top/>
      <bottom style="thin">
        <color indexed="64"/>
      </bottom>
      <diagonal/>
    </border>
    <border>
      <left style="thin">
        <color auto="1"/>
      </left>
      <right style="thin">
        <color auto="1"/>
      </right>
      <top style="thin">
        <color auto="1"/>
      </top>
      <bottom style="thin">
        <color auto="1"/>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35" fillId="0" borderId="0" applyNumberFormat="0" applyFill="0" applyBorder="0" applyAlignment="0" applyProtection="0"/>
  </cellStyleXfs>
  <cellXfs count="161">
    <xf numFmtId="0" fontId="0" fillId="0" borderId="0" xfId="0"/>
    <xf numFmtId="3" fontId="0" fillId="0" borderId="0" xfId="0" applyNumberFormat="1"/>
    <xf numFmtId="0" fontId="1" fillId="0" borderId="0" xfId="0" applyFont="1"/>
    <xf numFmtId="0" fontId="4" fillId="0" borderId="0" xfId="0" applyFont="1"/>
    <xf numFmtId="0" fontId="0" fillId="2" borderId="0" xfId="0" applyFill="1"/>
    <xf numFmtId="0" fontId="2" fillId="2" borderId="0" xfId="0" applyFont="1" applyFill="1" applyAlignment="1">
      <alignment vertical="top" wrapText="1"/>
    </xf>
    <xf numFmtId="0" fontId="0" fillId="0" borderId="0" xfId="0" applyAlignment="1">
      <alignment vertical="top" wrapText="1"/>
    </xf>
    <xf numFmtId="0" fontId="0" fillId="0" borderId="0" xfId="0" quotePrefix="1" applyAlignment="1">
      <alignment vertical="top" wrapText="1"/>
    </xf>
    <xf numFmtId="0" fontId="8" fillId="0" borderId="0" xfId="0" applyFont="1"/>
    <xf numFmtId="0" fontId="9" fillId="0" borderId="0" xfId="0" applyFont="1"/>
    <xf numFmtId="0" fontId="10" fillId="0" borderId="0" xfId="0" applyFont="1"/>
    <xf numFmtId="0" fontId="11" fillId="0" borderId="0" xfId="0" applyFont="1"/>
    <xf numFmtId="0" fontId="10" fillId="0" borderId="0" xfId="0" applyFont="1" applyAlignment="1">
      <alignment horizontal="right"/>
    </xf>
    <xf numFmtId="0" fontId="7" fillId="2" borderId="0" xfId="0" applyFont="1" applyFill="1" applyAlignment="1">
      <alignment horizontal="center"/>
    </xf>
    <xf numFmtId="0" fontId="7" fillId="2" borderId="0" xfId="0" applyFont="1" applyFill="1"/>
    <xf numFmtId="0" fontId="6" fillId="2" borderId="0" xfId="0" applyFont="1" applyFill="1"/>
    <xf numFmtId="0" fontId="3" fillId="0" borderId="0" xfId="0" applyFont="1" applyAlignment="1">
      <alignment horizontal="center"/>
    </xf>
    <xf numFmtId="0" fontId="3" fillId="3" borderId="0" xfId="0" applyFont="1" applyFill="1"/>
    <xf numFmtId="0" fontId="3" fillId="3" borderId="0" xfId="0" applyFont="1" applyFill="1" applyAlignment="1">
      <alignment horizontal="center"/>
    </xf>
    <xf numFmtId="0" fontId="3" fillId="0" borderId="1" xfId="0" applyFont="1" applyBorder="1" applyAlignment="1">
      <alignment horizontal="center"/>
    </xf>
    <xf numFmtId="167" fontId="0" fillId="0" borderId="0" xfId="0" applyNumberFormat="1"/>
    <xf numFmtId="9" fontId="0" fillId="0" borderId="0" xfId="0" applyNumberFormat="1"/>
    <xf numFmtId="0" fontId="13" fillId="0" borderId="4" xfId="0" applyFont="1" applyBorder="1"/>
    <xf numFmtId="0" fontId="6" fillId="0" borderId="4" xfId="0" applyFont="1" applyBorder="1"/>
    <xf numFmtId="0" fontId="14" fillId="0" borderId="4" xfId="0" applyFont="1" applyBorder="1" applyAlignment="1">
      <alignment horizontal="right"/>
    </xf>
    <xf numFmtId="0" fontId="6" fillId="0" borderId="0" xfId="0" applyFont="1"/>
    <xf numFmtId="165" fontId="0" fillId="0" borderId="0" xfId="0" applyNumberFormat="1"/>
    <xf numFmtId="0" fontId="15" fillId="0" borderId="0" xfId="0" applyFont="1" applyAlignment="1">
      <alignment vertical="top"/>
    </xf>
    <xf numFmtId="0" fontId="6" fillId="0" borderId="0" xfId="0" applyFont="1" applyAlignment="1">
      <alignment vertical="top" wrapText="1"/>
    </xf>
    <xf numFmtId="0" fontId="4" fillId="0" borderId="0" xfId="0" applyFont="1" applyAlignment="1">
      <alignment vertical="top" wrapText="1"/>
    </xf>
    <xf numFmtId="0" fontId="0" fillId="0" borderId="4" xfId="0" applyBorder="1"/>
    <xf numFmtId="0" fontId="13" fillId="2" borderId="0" xfId="0" applyFont="1" applyFill="1"/>
    <xf numFmtId="0" fontId="14" fillId="2" borderId="0" xfId="0" applyFont="1" applyFill="1" applyAlignment="1">
      <alignment horizontal="right"/>
    </xf>
    <xf numFmtId="0" fontId="13" fillId="0" borderId="0" xfId="0" applyFont="1"/>
    <xf numFmtId="0" fontId="16" fillId="0" borderId="0" xfId="0" applyFont="1"/>
    <xf numFmtId="0" fontId="7" fillId="0" borderId="0" xfId="0" applyFont="1"/>
    <xf numFmtId="0" fontId="7" fillId="0" borderId="0" xfId="0" applyFont="1" applyAlignment="1">
      <alignment horizontal="center"/>
    </xf>
    <xf numFmtId="0" fontId="10" fillId="0" borderId="4" xfId="0" applyFont="1" applyBorder="1"/>
    <xf numFmtId="0" fontId="17" fillId="2" borderId="0" xfId="0" applyFont="1" applyFill="1"/>
    <xf numFmtId="0" fontId="18" fillId="2" borderId="0" xfId="0" applyFont="1" applyFill="1"/>
    <xf numFmtId="0" fontId="7" fillId="2" borderId="1" xfId="0" applyFont="1" applyFill="1" applyBorder="1" applyAlignment="1">
      <alignment horizontal="center"/>
    </xf>
    <xf numFmtId="0" fontId="18" fillId="0" borderId="0" xfId="0" applyFont="1"/>
    <xf numFmtId="0" fontId="14" fillId="0" borderId="0" xfId="0" applyFont="1" applyAlignment="1">
      <alignment horizontal="right"/>
    </xf>
    <xf numFmtId="0" fontId="19" fillId="0" borderId="0" xfId="0" applyFont="1"/>
    <xf numFmtId="3" fontId="19" fillId="0" borderId="0" xfId="0" applyNumberFormat="1" applyFont="1"/>
    <xf numFmtId="0" fontId="20" fillId="0" borderId="0" xfId="0" applyFont="1"/>
    <xf numFmtId="3" fontId="20" fillId="0" borderId="0" xfId="0" applyNumberFormat="1" applyFont="1"/>
    <xf numFmtId="166" fontId="19" fillId="0" borderId="0" xfId="0" applyNumberFormat="1" applyFont="1"/>
    <xf numFmtId="167" fontId="19" fillId="0" borderId="0" xfId="0" applyNumberFormat="1" applyFont="1"/>
    <xf numFmtId="0" fontId="21" fillId="0" borderId="0" xfId="0" applyFont="1" applyAlignment="1">
      <alignment horizontal="center"/>
    </xf>
    <xf numFmtId="0" fontId="19" fillId="0" borderId="0" xfId="0" quotePrefix="1" applyFont="1" applyAlignment="1">
      <alignment horizontal="center"/>
    </xf>
    <xf numFmtId="0" fontId="22" fillId="0" borderId="0" xfId="0" applyFont="1"/>
    <xf numFmtId="0" fontId="19" fillId="2" borderId="0" xfId="0" applyFont="1" applyFill="1"/>
    <xf numFmtId="0" fontId="20" fillId="2" borderId="0" xfId="0" applyFont="1" applyFill="1"/>
    <xf numFmtId="0" fontId="23" fillId="0" borderId="0" xfId="0" applyFont="1"/>
    <xf numFmtId="0" fontId="21" fillId="2" borderId="0" xfId="0" applyFont="1" applyFill="1"/>
    <xf numFmtId="3" fontId="24" fillId="0" borderId="0" xfId="0" applyNumberFormat="1" applyFont="1"/>
    <xf numFmtId="0" fontId="20" fillId="0" borderId="0" xfId="0" quotePrefix="1" applyFont="1" applyAlignment="1">
      <alignment horizontal="center"/>
    </xf>
    <xf numFmtId="167" fontId="24" fillId="2" borderId="0" xfId="0" applyNumberFormat="1" applyFont="1" applyFill="1"/>
    <xf numFmtId="0" fontId="26" fillId="2" borderId="0" xfId="0" applyFont="1" applyFill="1"/>
    <xf numFmtId="0" fontId="26" fillId="2" borderId="0" xfId="0" applyFont="1" applyFill="1" applyAlignment="1">
      <alignment horizontal="center"/>
    </xf>
    <xf numFmtId="167" fontId="24" fillId="0" borderId="0" xfId="2" applyNumberFormat="1" applyFont="1"/>
    <xf numFmtId="0" fontId="24" fillId="0" borderId="0" xfId="0" applyFont="1"/>
    <xf numFmtId="3" fontId="24" fillId="2" borderId="0" xfId="0" applyNumberFormat="1" applyFont="1" applyFill="1"/>
    <xf numFmtId="0" fontId="20" fillId="0" borderId="0" xfId="0" quotePrefix="1" applyFont="1" applyAlignment="1">
      <alignment horizontal="right"/>
    </xf>
    <xf numFmtId="0" fontId="19" fillId="0" borderId="0" xfId="0" applyFont="1" applyAlignment="1">
      <alignment horizontal="right"/>
    </xf>
    <xf numFmtId="3" fontId="19" fillId="2" borderId="0" xfId="0" applyNumberFormat="1" applyFont="1" applyFill="1"/>
    <xf numFmtId="167" fontId="25" fillId="0" borderId="0" xfId="0" applyNumberFormat="1" applyFont="1"/>
    <xf numFmtId="167" fontId="20" fillId="0" borderId="0" xfId="0" applyNumberFormat="1" applyFont="1"/>
    <xf numFmtId="0" fontId="26" fillId="0" borderId="0" xfId="0" applyFont="1"/>
    <xf numFmtId="167" fontId="24" fillId="0" borderId="0" xfId="0" applyNumberFormat="1" applyFont="1"/>
    <xf numFmtId="167" fontId="24" fillId="2" borderId="0" xfId="2" applyNumberFormat="1" applyFont="1" applyFill="1"/>
    <xf numFmtId="167" fontId="24" fillId="0" borderId="0" xfId="0" quotePrefix="1" applyNumberFormat="1" applyFont="1" applyAlignment="1">
      <alignment horizontal="right"/>
    </xf>
    <xf numFmtId="167" fontId="24" fillId="0" borderId="0" xfId="2" quotePrefix="1" applyNumberFormat="1" applyFont="1" applyAlignment="1">
      <alignment horizontal="right"/>
    </xf>
    <xf numFmtId="167" fontId="20" fillId="0" borderId="2" xfId="0" applyNumberFormat="1" applyFont="1" applyBorder="1"/>
    <xf numFmtId="167" fontId="20" fillId="0" borderId="3" xfId="0" applyNumberFormat="1" applyFont="1" applyBorder="1"/>
    <xf numFmtId="0" fontId="24" fillId="2" borderId="0" xfId="0" applyFont="1" applyFill="1"/>
    <xf numFmtId="0" fontId="12" fillId="0" borderId="0" xfId="0" applyFont="1" applyAlignment="1">
      <alignment horizontal="right"/>
    </xf>
    <xf numFmtId="0" fontId="2" fillId="0" borderId="0" xfId="0" applyFont="1" applyAlignment="1">
      <alignment vertical="top" wrapText="1"/>
    </xf>
    <xf numFmtId="0" fontId="27" fillId="0" borderId="0" xfId="0" applyFont="1" applyAlignment="1">
      <alignment vertical="top" wrapText="1"/>
    </xf>
    <xf numFmtId="0" fontId="24" fillId="0" borderId="0" xfId="0" applyFont="1" applyAlignment="1">
      <alignment horizontal="left"/>
    </xf>
    <xf numFmtId="0" fontId="23" fillId="2" borderId="0" xfId="0" applyFont="1" applyFill="1"/>
    <xf numFmtId="0" fontId="28" fillId="0" borderId="0" xfId="0" applyFont="1" applyAlignment="1">
      <alignment horizontal="center"/>
    </xf>
    <xf numFmtId="0" fontId="8" fillId="2" borderId="0" xfId="0" applyFont="1" applyFill="1"/>
    <xf numFmtId="3" fontId="19" fillId="0" borderId="0" xfId="0" quotePrefix="1" applyNumberFormat="1" applyFont="1" applyAlignment="1">
      <alignment horizontal="right"/>
    </xf>
    <xf numFmtId="166" fontId="19" fillId="0" borderId="0" xfId="0" quotePrefix="1" applyNumberFormat="1" applyFont="1" applyAlignment="1">
      <alignment horizontal="right"/>
    </xf>
    <xf numFmtId="167" fontId="19" fillId="0" borderId="0" xfId="0" quotePrefix="1" applyNumberFormat="1" applyFont="1" applyAlignment="1">
      <alignment horizontal="right"/>
    </xf>
    <xf numFmtId="0" fontId="19" fillId="0" borderId="0" xfId="0" quotePrefix="1" applyFont="1" applyAlignment="1">
      <alignment horizontal="right"/>
    </xf>
    <xf numFmtId="0" fontId="19" fillId="2" borderId="0" xfId="0" quotePrefix="1" applyFont="1" applyFill="1"/>
    <xf numFmtId="0" fontId="10" fillId="2" borderId="0" xfId="0" applyFont="1" applyFill="1"/>
    <xf numFmtId="0" fontId="31" fillId="0" borderId="0" xfId="0" applyFont="1"/>
    <xf numFmtId="0" fontId="22" fillId="2" borderId="0" xfId="0" applyFont="1" applyFill="1"/>
    <xf numFmtId="0" fontId="31" fillId="2" borderId="0" xfId="0" applyFont="1" applyFill="1"/>
    <xf numFmtId="0" fontId="1" fillId="0" borderId="0" xfId="0" applyFont="1" applyAlignment="1">
      <alignment vertical="top" wrapText="1"/>
    </xf>
    <xf numFmtId="0" fontId="19" fillId="0" borderId="0" xfId="0" applyFont="1" applyAlignment="1">
      <alignment horizontal="left" indent="1"/>
    </xf>
    <xf numFmtId="0" fontId="20" fillId="0" borderId="0" xfId="0" applyFont="1" applyAlignment="1">
      <alignment horizontal="left" indent="1"/>
    </xf>
    <xf numFmtId="0" fontId="32" fillId="0" borderId="0" xfId="0" applyFont="1"/>
    <xf numFmtId="0" fontId="19" fillId="0" borderId="0" xfId="0" quotePrefix="1" applyFont="1" applyAlignment="1">
      <alignment horizontal="left" indent="1"/>
    </xf>
    <xf numFmtId="0" fontId="33" fillId="2" borderId="0" xfId="0" applyFont="1" applyFill="1"/>
    <xf numFmtId="0" fontId="34" fillId="0" borderId="0" xfId="0" applyFont="1"/>
    <xf numFmtId="1" fontId="24" fillId="4" borderId="0" xfId="0" applyNumberFormat="1" applyFont="1" applyFill="1"/>
    <xf numFmtId="3" fontId="24" fillId="4" borderId="0" xfId="0" applyNumberFormat="1" applyFont="1" applyFill="1"/>
    <xf numFmtId="167" fontId="19" fillId="4" borderId="0" xfId="0" applyNumberFormat="1" applyFont="1" applyFill="1"/>
    <xf numFmtId="164" fontId="24" fillId="4" borderId="0" xfId="1" applyNumberFormat="1" applyFont="1" applyFill="1"/>
    <xf numFmtId="167" fontId="24" fillId="4" borderId="0" xfId="0" applyNumberFormat="1" applyFont="1" applyFill="1"/>
    <xf numFmtId="0" fontId="36" fillId="0" borderId="0" xfId="0" applyFont="1" applyAlignment="1">
      <alignment horizontal="left" vertical="top" wrapText="1" indent="1"/>
    </xf>
    <xf numFmtId="0" fontId="37" fillId="0" borderId="0" xfId="3" applyFont="1" applyAlignment="1">
      <alignment vertical="top" wrapText="1"/>
    </xf>
    <xf numFmtId="0" fontId="35" fillId="0" borderId="0" xfId="3" applyAlignment="1">
      <alignment vertical="top" wrapText="1"/>
    </xf>
    <xf numFmtId="0" fontId="6" fillId="4" borderId="0" xfId="0" applyFont="1" applyFill="1" applyAlignment="1">
      <alignment vertical="top" wrapText="1"/>
    </xf>
    <xf numFmtId="0" fontId="21" fillId="3" borderId="0" xfId="0" applyFont="1" applyFill="1"/>
    <xf numFmtId="0" fontId="21" fillId="3" borderId="0" xfId="0" applyFont="1" applyFill="1" applyAlignment="1">
      <alignment horizontal="center"/>
    </xf>
    <xf numFmtId="168" fontId="24" fillId="4" borderId="0" xfId="0" applyNumberFormat="1" applyFont="1" applyFill="1"/>
    <xf numFmtId="0" fontId="39" fillId="3" borderId="0" xfId="0" applyFont="1" applyFill="1" applyAlignment="1">
      <alignment horizontal="center"/>
    </xf>
    <xf numFmtId="168" fontId="19" fillId="0" borderId="0" xfId="0" quotePrefix="1" applyNumberFormat="1" applyFont="1" applyAlignment="1">
      <alignment horizontal="center"/>
    </xf>
    <xf numFmtId="168" fontId="26" fillId="0" borderId="2" xfId="0" applyNumberFormat="1" applyFont="1" applyBorder="1"/>
    <xf numFmtId="168" fontId="24" fillId="0" borderId="0" xfId="0" applyNumberFormat="1" applyFont="1"/>
    <xf numFmtId="168" fontId="26" fillId="0" borderId="0" xfId="0" applyNumberFormat="1" applyFont="1"/>
    <xf numFmtId="168" fontId="26" fillId="0" borderId="3" xfId="0" applyNumberFormat="1" applyFont="1" applyBorder="1"/>
    <xf numFmtId="168" fontId="0" fillId="0" borderId="0" xfId="0" applyNumberFormat="1"/>
    <xf numFmtId="168" fontId="19" fillId="0" borderId="0" xfId="0" applyNumberFormat="1" applyFont="1"/>
    <xf numFmtId="168" fontId="20" fillId="0" borderId="2" xfId="0" applyNumberFormat="1" applyFont="1" applyBorder="1"/>
    <xf numFmtId="168" fontId="20" fillId="0" borderId="0" xfId="0" applyNumberFormat="1" applyFont="1"/>
    <xf numFmtId="168" fontId="20" fillId="0" borderId="3" xfId="0" applyNumberFormat="1" applyFont="1" applyBorder="1"/>
    <xf numFmtId="168" fontId="19" fillId="0" borderId="0" xfId="0" quotePrefix="1" applyNumberFormat="1" applyFont="1" applyAlignment="1">
      <alignment horizontal="right"/>
    </xf>
    <xf numFmtId="0" fontId="19" fillId="5" borderId="0" xfId="0" applyFont="1" applyFill="1"/>
    <xf numFmtId="0" fontId="20" fillId="5" borderId="0" xfId="0" applyFont="1" applyFill="1"/>
    <xf numFmtId="168" fontId="29" fillId="2" borderId="2" xfId="0" applyNumberFormat="1" applyFont="1" applyFill="1" applyBorder="1"/>
    <xf numFmtId="168" fontId="26" fillId="2" borderId="2" xfId="0" applyNumberFormat="1" applyFont="1" applyFill="1" applyBorder="1"/>
    <xf numFmtId="168" fontId="29" fillId="0" borderId="2" xfId="0" applyNumberFormat="1" applyFont="1" applyBorder="1"/>
    <xf numFmtId="168" fontId="29" fillId="0" borderId="0" xfId="0" applyNumberFormat="1" applyFont="1"/>
    <xf numFmtId="168" fontId="30" fillId="0" borderId="0" xfId="0" applyNumberFormat="1" applyFont="1"/>
    <xf numFmtId="168" fontId="19" fillId="4" borderId="0" xfId="0" applyNumberFormat="1" applyFont="1" applyFill="1"/>
    <xf numFmtId="168" fontId="26" fillId="4" borderId="0" xfId="0" applyNumberFormat="1" applyFont="1" applyFill="1"/>
    <xf numFmtId="168" fontId="26" fillId="0" borderId="0" xfId="0" quotePrefix="1" applyNumberFormat="1" applyFont="1" applyAlignment="1">
      <alignment horizontal="center"/>
    </xf>
    <xf numFmtId="168" fontId="24" fillId="0" borderId="0" xfId="0" quotePrefix="1" applyNumberFormat="1" applyFont="1" applyAlignment="1">
      <alignment horizontal="right"/>
    </xf>
    <xf numFmtId="168" fontId="30" fillId="0" borderId="0" xfId="0" quotePrefix="1" applyNumberFormat="1" applyFont="1" applyAlignment="1">
      <alignment horizontal="right"/>
    </xf>
    <xf numFmtId="168" fontId="24" fillId="4" borderId="0" xfId="0" quotePrefix="1" applyNumberFormat="1" applyFont="1" applyFill="1" applyAlignment="1">
      <alignment horizontal="right"/>
    </xf>
    <xf numFmtId="168" fontId="24" fillId="2" borderId="0" xfId="0" applyNumberFormat="1" applyFont="1" applyFill="1" applyAlignment="1">
      <alignment horizontal="right"/>
    </xf>
    <xf numFmtId="168" fontId="26" fillId="0" borderId="0" xfId="0" applyNumberFormat="1" applyFont="1" applyAlignment="1">
      <alignment horizontal="right"/>
    </xf>
    <xf numFmtId="168" fontId="24" fillId="5" borderId="0" xfId="0" applyNumberFormat="1" applyFont="1" applyFill="1"/>
    <xf numFmtId="168" fontId="30" fillId="5" borderId="0" xfId="0" applyNumberFormat="1" applyFont="1" applyFill="1"/>
    <xf numFmtId="167" fontId="24" fillId="5" borderId="0" xfId="0" applyNumberFormat="1" applyFont="1" applyFill="1"/>
    <xf numFmtId="3" fontId="24" fillId="5" borderId="0" xfId="0" applyNumberFormat="1" applyFont="1" applyFill="1"/>
    <xf numFmtId="164" fontId="24" fillId="5" borderId="0" xfId="1" applyNumberFormat="1" applyFont="1" applyFill="1"/>
    <xf numFmtId="168" fontId="3" fillId="3" borderId="0" xfId="0" applyNumberFormat="1" applyFont="1" applyFill="1" applyAlignment="1">
      <alignment vertical="top"/>
    </xf>
    <xf numFmtId="0" fontId="3" fillId="3" borderId="0" xfId="0" applyFont="1" applyFill="1" applyAlignment="1">
      <alignment vertical="top"/>
    </xf>
    <xf numFmtId="168" fontId="4" fillId="0" borderId="0" xfId="0" applyNumberFormat="1" applyFont="1" applyAlignment="1">
      <alignment vertical="top" wrapText="1"/>
    </xf>
    <xf numFmtId="168" fontId="1" fillId="0" borderId="0" xfId="0" applyNumberFormat="1" applyFont="1" applyAlignment="1">
      <alignment vertical="top" wrapText="1"/>
    </xf>
    <xf numFmtId="168" fontId="0" fillId="0" borderId="5" xfId="0" applyNumberFormat="1" applyBorder="1" applyAlignment="1">
      <alignment vertical="top" wrapText="1"/>
    </xf>
    <xf numFmtId="168" fontId="1" fillId="0" borderId="2" xfId="0" applyNumberFormat="1" applyFont="1" applyBorder="1" applyAlignment="1">
      <alignment vertical="top" wrapText="1"/>
    </xf>
    <xf numFmtId="0" fontId="1" fillId="0" borderId="2" xfId="0" applyFont="1" applyBorder="1" applyAlignment="1">
      <alignment vertical="top" wrapText="1"/>
    </xf>
    <xf numFmtId="168" fontId="0" fillId="0" borderId="0" xfId="0" applyNumberFormat="1" applyAlignment="1">
      <alignment vertical="top" wrapText="1"/>
    </xf>
    <xf numFmtId="0" fontId="27" fillId="0" borderId="0" xfId="0" applyFont="1"/>
    <xf numFmtId="168" fontId="31" fillId="6" borderId="0" xfId="0" applyNumberFormat="1" applyFont="1" applyFill="1"/>
    <xf numFmtId="168" fontId="19" fillId="5" borderId="0" xfId="0" applyNumberFormat="1" applyFont="1" applyFill="1"/>
    <xf numFmtId="168" fontId="22" fillId="5" borderId="0" xfId="0" applyNumberFormat="1" applyFont="1" applyFill="1"/>
    <xf numFmtId="168" fontId="22" fillId="6" borderId="0" xfId="0" applyNumberFormat="1" applyFont="1" applyFill="1"/>
    <xf numFmtId="0" fontId="3" fillId="3" borderId="0" xfId="0" applyFont="1" applyFill="1" applyAlignment="1">
      <alignment vertical="top" wrapText="1"/>
    </xf>
    <xf numFmtId="0" fontId="3" fillId="3" borderId="0" xfId="0" applyFont="1" applyFill="1" applyAlignment="1">
      <alignment horizontal="center" vertical="center" textRotation="90"/>
    </xf>
    <xf numFmtId="0" fontId="21" fillId="3" borderId="1" xfId="0" applyFont="1" applyFill="1" applyBorder="1" applyAlignment="1">
      <alignment horizontal="center"/>
    </xf>
    <xf numFmtId="168" fontId="26" fillId="0" borderId="0" xfId="0" quotePrefix="1" applyNumberFormat="1" applyFont="1" applyAlignment="1">
      <alignment horizontal="right"/>
    </xf>
  </cellXfs>
  <cellStyles count="4">
    <cellStyle name="Comma" xfId="1" builtinId="3"/>
    <cellStyle name="Hyperlink" xfId="3" builtinId="8"/>
    <cellStyle name="Normal" xfId="0" builtinId="0"/>
    <cellStyle name="Percent" xfId="2" builtinId="5"/>
  </cellStyles>
  <dxfs count="17">
    <dxf>
      <font>
        <color rgb="FF006100"/>
      </font>
      <fill>
        <patternFill>
          <bgColor rgb="FFC6EFCE"/>
        </patternFill>
      </fill>
    </dxf>
    <dxf>
      <font>
        <color rgb="FFFFFF66"/>
      </font>
      <fill>
        <patternFill>
          <bgColor rgb="FFFF0000"/>
        </patternFill>
      </fill>
    </dxf>
    <dxf>
      <fill>
        <patternFill>
          <bgColor rgb="FFFF0000"/>
        </patternFill>
      </fill>
    </dxf>
    <dxf>
      <fill>
        <patternFill>
          <bgColor rgb="FFFF0000"/>
        </patternFill>
      </fill>
    </dxf>
    <dxf>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
      <font>
        <color rgb="FF006100"/>
      </font>
      <fill>
        <patternFill>
          <bgColor rgb="FFC6EFCE"/>
        </patternFill>
      </fill>
    </dxf>
    <dxf>
      <font>
        <color rgb="FFFFFF66"/>
      </font>
      <fill>
        <patternFill>
          <bgColor rgb="FFFF0000"/>
        </patternFill>
      </fill>
    </dxf>
  </dxfs>
  <tableStyles count="0" defaultTableStyle="TableStyleMedium9" defaultPivotStyle="PivotStyleLight16"/>
  <colors>
    <mruColors>
      <color rgb="FFFFFFCC"/>
      <color rgb="FFFFFF99"/>
      <color rgb="FFFFFF66"/>
      <color rgb="FF004646"/>
      <color rgb="FF007300"/>
      <color rgb="FFFF7C00"/>
      <color rgb="FF005A46"/>
      <color rgb="FF005A00"/>
      <color rgb="FF006600"/>
      <color rgb="FF00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Aantal producten verkocht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Dashboard!$AF$5</c:f>
              <c:strCache>
                <c:ptCount val="1"/>
                <c:pt idx="0">
                  <c:v>Aantal producten</c:v>
                </c:pt>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Dashboard!$AI$5:$AO$5</c:f>
              <c:numCache>
                <c:formatCode>#,##0</c:formatCode>
                <c:ptCount val="7"/>
                <c:pt idx="0">
                  <c:v>1200</c:v>
                </c:pt>
                <c:pt idx="1">
                  <c:v>1200</c:v>
                </c:pt>
                <c:pt idx="2">
                  <c:v>1200</c:v>
                </c:pt>
                <c:pt idx="3">
                  <c:v>1300</c:v>
                </c:pt>
                <c:pt idx="4">
                  <c:v>1400</c:v>
                </c:pt>
                <c:pt idx="5">
                  <c:v>1500</c:v>
                </c:pt>
                <c:pt idx="6">
                  <c:v>1500</c:v>
                </c:pt>
              </c:numCache>
            </c:numRef>
          </c:val>
          <c:extLst>
            <c:ext xmlns:c16="http://schemas.microsoft.com/office/drawing/2014/chart" uri="{C3380CC4-5D6E-409C-BE32-E72D297353CC}">
              <c16:uniqueId val="{00000000-CA26-4389-9BB5-E5445D465F5A}"/>
            </c:ext>
          </c:extLst>
        </c:ser>
        <c:dLbls>
          <c:showLegendKey val="0"/>
          <c:showVal val="0"/>
          <c:showCatName val="0"/>
          <c:showSerName val="0"/>
          <c:showPercent val="0"/>
          <c:showBubbleSize val="0"/>
        </c:dLbls>
        <c:gapWidth val="219"/>
        <c:overlap val="-27"/>
        <c:axId val="559422479"/>
        <c:axId val="455299359"/>
      </c:bar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min val="9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majorUnit val="1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Gemiddelde</a:t>
            </a:r>
            <a:r>
              <a:rPr lang="en-US" b="1" baseline="0"/>
              <a:t> verkoopprijs</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Dashboard!$AF$6</c:f>
              <c:strCache>
                <c:ptCount val="1"/>
                <c:pt idx="0">
                  <c:v>Gem verkoopprijs</c:v>
                </c:pt>
              </c:strCache>
            </c:strRef>
          </c:tx>
          <c:spPr>
            <a:ln w="28575" cap="rnd">
              <a:solidFill>
                <a:schemeClr val="accent1"/>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Dashboard!$AI$6:$AO$6</c:f>
              <c:numCache>
                <c:formatCode>"€"\ #,##0;\-"€"\ #,##0;\-</c:formatCode>
                <c:ptCount val="7"/>
                <c:pt idx="0">
                  <c:v>416.66666666666669</c:v>
                </c:pt>
                <c:pt idx="1">
                  <c:v>437.5</c:v>
                </c:pt>
                <c:pt idx="2">
                  <c:v>446.25</c:v>
                </c:pt>
                <c:pt idx="3">
                  <c:v>455.17500000000001</c:v>
                </c:pt>
                <c:pt idx="4">
                  <c:v>464.27850000000001</c:v>
                </c:pt>
                <c:pt idx="5">
                  <c:v>473.56407000000002</c:v>
                </c:pt>
                <c:pt idx="6">
                  <c:v>483.03535140000002</c:v>
                </c:pt>
              </c:numCache>
            </c:numRef>
          </c:val>
          <c:smooth val="0"/>
          <c:extLst>
            <c:ext xmlns:c16="http://schemas.microsoft.com/office/drawing/2014/chart" uri="{C3380CC4-5D6E-409C-BE32-E72D297353CC}">
              <c16:uniqueId val="{00000000-98BF-4FA0-8F70-19DA79632CFD}"/>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Opbrengsten</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areaChart>
        <c:grouping val="stacked"/>
        <c:varyColors val="0"/>
        <c:ser>
          <c:idx val="0"/>
          <c:order val="0"/>
          <c:tx>
            <c:strRef>
              <c:f>Dashboard!$AF$8</c:f>
              <c:strCache>
                <c:ptCount val="1"/>
                <c:pt idx="0">
                  <c:v>Productgroep</c:v>
                </c:pt>
              </c:strCache>
            </c:strRef>
          </c:tx>
          <c:spPr>
            <a:solidFill>
              <a:schemeClr val="accent1"/>
            </a:solidFill>
            <a:ln>
              <a:noFill/>
            </a:ln>
            <a:effectLst/>
          </c:spPr>
          <c:cat>
            <c:strRef>
              <c:f>Dashboard!$AI$3:$AO$3</c:f>
              <c:strCache>
                <c:ptCount val="7"/>
                <c:pt idx="0">
                  <c:v>R 24</c:v>
                </c:pt>
                <c:pt idx="1">
                  <c:v>R 25</c:v>
                </c:pt>
                <c:pt idx="2">
                  <c:v>P 26</c:v>
                </c:pt>
                <c:pt idx="3">
                  <c:v>P 27</c:v>
                </c:pt>
                <c:pt idx="4">
                  <c:v>P 28</c:v>
                </c:pt>
                <c:pt idx="5">
                  <c:v>P 29</c:v>
                </c:pt>
                <c:pt idx="6">
                  <c:v>P 30</c:v>
                </c:pt>
              </c:strCache>
            </c:strRef>
          </c:cat>
          <c:val>
            <c:numRef>
              <c:f>Dashboard!$AI$8:$AO$8</c:f>
              <c:numCache>
                <c:formatCode>"€"\ #,##0;\-"€"\ #,##0;\-</c:formatCode>
                <c:ptCount val="7"/>
                <c:pt idx="0">
                  <c:v>500</c:v>
                </c:pt>
                <c:pt idx="1">
                  <c:v>525</c:v>
                </c:pt>
                <c:pt idx="2">
                  <c:v>535.5</c:v>
                </c:pt>
                <c:pt idx="3">
                  <c:v>591.72749999999996</c:v>
                </c:pt>
                <c:pt idx="4">
                  <c:v>649.98990000000003</c:v>
                </c:pt>
                <c:pt idx="5">
                  <c:v>710.34610499999997</c:v>
                </c:pt>
                <c:pt idx="6">
                  <c:v>724.55302710000001</c:v>
                </c:pt>
              </c:numCache>
            </c:numRef>
          </c:val>
          <c:extLst>
            <c:ext xmlns:c16="http://schemas.microsoft.com/office/drawing/2014/chart" uri="{C3380CC4-5D6E-409C-BE32-E72D297353CC}">
              <c16:uniqueId val="{00000000-D3E6-448B-A991-3DD963B3418C}"/>
            </c:ext>
          </c:extLst>
        </c:ser>
        <c:ser>
          <c:idx val="1"/>
          <c:order val="1"/>
          <c:tx>
            <c:strRef>
              <c:f>Dashboard!$AF$9</c:f>
              <c:strCache>
                <c:ptCount val="1"/>
                <c:pt idx="0">
                  <c:v>Overige</c:v>
                </c:pt>
              </c:strCache>
            </c:strRef>
          </c:tx>
          <c:spPr>
            <a:solidFill>
              <a:schemeClr val="accent2"/>
            </a:solidFill>
            <a:ln>
              <a:noFill/>
            </a:ln>
            <a:effectLst/>
          </c:spPr>
          <c:val>
            <c:numRef>
              <c:f>Dashboard!$AI$9:$AO$9</c:f>
              <c:numCache>
                <c:formatCode>"€"\ #,##0;\-"€"\ #,##0;\-</c:formatCode>
                <c:ptCount val="7"/>
                <c:pt idx="0">
                  <c:v>50</c:v>
                </c:pt>
                <c:pt idx="1">
                  <c:v>55</c:v>
                </c:pt>
                <c:pt idx="2">
                  <c:v>86.1</c:v>
                </c:pt>
                <c:pt idx="3">
                  <c:v>57.222000000000001</c:v>
                </c:pt>
                <c:pt idx="4">
                  <c:v>58.366440000000004</c:v>
                </c:pt>
                <c:pt idx="5">
                  <c:v>59.533768800000004</c:v>
                </c:pt>
                <c:pt idx="6">
                  <c:v>60.724444176000006</c:v>
                </c:pt>
              </c:numCache>
            </c:numRef>
          </c:val>
          <c:extLst>
            <c:ext xmlns:c16="http://schemas.microsoft.com/office/drawing/2014/chart" uri="{C3380CC4-5D6E-409C-BE32-E72D297353CC}">
              <c16:uniqueId val="{00000000-0C5B-43E4-97E7-8D2E42DFF439}"/>
            </c:ext>
          </c:extLst>
        </c:ser>
        <c:ser>
          <c:idx val="2"/>
          <c:order val="2"/>
          <c:tx>
            <c:strRef>
              <c:f>Dashboard!$AF$10</c:f>
              <c:strCache>
                <c:ptCount val="1"/>
              </c:strCache>
            </c:strRef>
          </c:tx>
          <c:spPr>
            <a:solidFill>
              <a:schemeClr val="bg1">
                <a:lumMod val="65000"/>
              </a:schemeClr>
            </a:solidFill>
            <a:ln>
              <a:noFill/>
            </a:ln>
            <a:effectLst/>
          </c:spPr>
          <c:val>
            <c:numRef>
              <c:f>Dashboard!$AI$10:$AO$10</c:f>
              <c:numCache>
                <c:formatCode>#,##0</c:formatCode>
                <c:ptCount val="7"/>
              </c:numCache>
            </c:numRef>
          </c:val>
          <c:extLst>
            <c:ext xmlns:c16="http://schemas.microsoft.com/office/drawing/2014/chart" uri="{C3380CC4-5D6E-409C-BE32-E72D297353CC}">
              <c16:uniqueId val="{00000001-0C5B-43E4-97E7-8D2E42DFF439}"/>
            </c:ext>
          </c:extLst>
        </c:ser>
        <c:dLbls>
          <c:showLegendKey val="0"/>
          <c:showVal val="0"/>
          <c:showCatName val="0"/>
          <c:showSerName val="0"/>
          <c:showPercent val="0"/>
          <c:showBubbleSize val="0"/>
        </c:dLbls>
        <c:axId val="559422479"/>
        <c:axId val="455299359"/>
      </c:areaChart>
      <c:catAx>
        <c:axId val="55942247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min val="400"/>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Personeelskosten</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Dashboard!$AF$11</c:f>
              <c:strCache>
                <c:ptCount val="1"/>
                <c:pt idx="0">
                  <c:v>Personeelskosten</c:v>
                </c:pt>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Dashboard!$AI$11:$AO$11</c:f>
              <c:numCache>
                <c:formatCode>"€"\ #,##0;\-"€"\ #,##0;\-</c:formatCode>
                <c:ptCount val="7"/>
                <c:pt idx="0">
                  <c:v>300</c:v>
                </c:pt>
                <c:pt idx="1">
                  <c:v>315</c:v>
                </c:pt>
                <c:pt idx="2">
                  <c:v>371.08</c:v>
                </c:pt>
                <c:pt idx="3">
                  <c:v>375.30160000000001</c:v>
                </c:pt>
                <c:pt idx="4">
                  <c:v>382.66763200000003</c:v>
                </c:pt>
                <c:pt idx="5">
                  <c:v>390.18098464000002</c:v>
                </c:pt>
                <c:pt idx="6">
                  <c:v>462.98537172160002</c:v>
                </c:pt>
              </c:numCache>
            </c:numRef>
          </c:val>
          <c:extLst>
            <c:ext xmlns:c16="http://schemas.microsoft.com/office/drawing/2014/chart" uri="{C3380CC4-5D6E-409C-BE32-E72D297353CC}">
              <c16:uniqueId val="{00000000-E2F8-4D06-AC5E-29F78E7A892F}"/>
            </c:ext>
          </c:extLst>
        </c:ser>
        <c:dLbls>
          <c:showLegendKey val="0"/>
          <c:showVal val="0"/>
          <c:showCatName val="0"/>
          <c:showSerName val="0"/>
          <c:showPercent val="0"/>
          <c:showBubbleSize val="0"/>
        </c:dLbls>
        <c:gapWidth val="219"/>
        <c:overlap val="-27"/>
        <c:axId val="559422479"/>
        <c:axId val="455299359"/>
      </c:barChart>
      <c:lineChart>
        <c:grouping val="standard"/>
        <c:varyColors val="0"/>
        <c:ser>
          <c:idx val="1"/>
          <c:order val="1"/>
          <c:tx>
            <c:strRef>
              <c:f>Dashboard!$AF$12</c:f>
              <c:strCache>
                <c:ptCount val="1"/>
                <c:pt idx="0">
                  <c:v>Personeelskosten%</c:v>
                </c:pt>
              </c:strCache>
            </c:strRef>
          </c:tx>
          <c:spPr>
            <a:ln w="28575" cap="rnd">
              <a:solidFill>
                <a:schemeClr val="accent2"/>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Dashboard!$AI$12:$AO$12</c:f>
              <c:numCache>
                <c:formatCode>0.0%</c:formatCode>
                <c:ptCount val="7"/>
                <c:pt idx="0">
                  <c:v>0.54545454545454541</c:v>
                </c:pt>
                <c:pt idx="1">
                  <c:v>0.5431034482758621</c:v>
                </c:pt>
                <c:pt idx="2">
                  <c:v>0.59697554697554689</c:v>
                </c:pt>
                <c:pt idx="3">
                  <c:v>0.57832173381750052</c:v>
                </c:pt>
                <c:pt idx="4">
                  <c:v>0.54021911062446337</c:v>
                </c:pt>
                <c:pt idx="5">
                  <c:v>0.50680761754964587</c:v>
                </c:pt>
                <c:pt idx="6">
                  <c:v>0.58958188494735941</c:v>
                </c:pt>
              </c:numCache>
            </c:numRef>
          </c:val>
          <c:smooth val="0"/>
          <c:extLst>
            <c:ext xmlns:c16="http://schemas.microsoft.com/office/drawing/2014/chart" uri="{C3380CC4-5D6E-409C-BE32-E72D297353CC}">
              <c16:uniqueId val="{00000001-E2F8-4D06-AC5E-29F78E7A892F}"/>
            </c:ext>
          </c:extLst>
        </c:ser>
        <c:dLbls>
          <c:showLegendKey val="0"/>
          <c:showVal val="0"/>
          <c:showCatName val="0"/>
          <c:showSerName val="0"/>
          <c:showPercent val="0"/>
          <c:showBubbleSize val="0"/>
        </c:dLbls>
        <c:marker val="1"/>
        <c:smooth val="0"/>
        <c:axId val="650054239"/>
        <c:axId val="655594591"/>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min val="200"/>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valAx>
        <c:axId val="655594591"/>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50054239"/>
        <c:crosses val="max"/>
        <c:crossBetween val="between"/>
      </c:valAx>
      <c:catAx>
        <c:axId val="650054239"/>
        <c:scaling>
          <c:orientation val="minMax"/>
        </c:scaling>
        <c:delete val="1"/>
        <c:axPos val="b"/>
        <c:numFmt formatCode="General" sourceLinked="1"/>
        <c:majorTickMark val="out"/>
        <c:minorTickMark val="none"/>
        <c:tickLblPos val="nextTo"/>
        <c:crossAx val="655594591"/>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Solvabiliteit</a:t>
            </a:r>
            <a:r>
              <a:rPr lang="en-US" b="1" baseline="0"/>
              <a:t> EV/TV</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Dashboard!$AF$17</c:f>
              <c:strCache>
                <c:ptCount val="1"/>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Dashboard!$AI$17:$AO$17</c:f>
              <c:numCache>
                <c:formatCode>0.0%</c:formatCode>
                <c:ptCount val="7"/>
              </c:numCache>
            </c:numRef>
          </c:val>
          <c:extLst>
            <c:ext xmlns:c16="http://schemas.microsoft.com/office/drawing/2014/chart" uri="{C3380CC4-5D6E-409C-BE32-E72D297353CC}">
              <c16:uniqueId val="{00000007-050A-451A-A216-71AB12A0BA99}"/>
            </c:ext>
          </c:extLst>
        </c:ser>
        <c:dLbls>
          <c:showLegendKey val="0"/>
          <c:showVal val="0"/>
          <c:showCatName val="0"/>
          <c:showSerName val="0"/>
          <c:showPercent val="0"/>
          <c:showBubbleSize val="0"/>
        </c:dLbls>
        <c:gapWidth val="150"/>
        <c:axId val="559422479"/>
        <c:axId val="455299359"/>
      </c:bar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Liquide</a:t>
            </a:r>
            <a:r>
              <a:rPr lang="en-US" b="1" baseline="0"/>
              <a:t> middelen</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Dashboard!$AF$20</c:f>
              <c:strCache>
                <c:ptCount val="1"/>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Dashboard!$AI$20:$AO$20</c:f>
              <c:numCache>
                <c:formatCode>"€"\ #,##0;\-"€"\ #,##0;\-</c:formatCode>
                <c:ptCount val="7"/>
              </c:numCache>
            </c:numRef>
          </c:val>
          <c:extLst>
            <c:ext xmlns:c16="http://schemas.microsoft.com/office/drawing/2014/chart" uri="{C3380CC4-5D6E-409C-BE32-E72D297353CC}">
              <c16:uniqueId val="{00000003-DD8D-4644-A9B3-D89AE7CAAFCE}"/>
            </c:ext>
          </c:extLst>
        </c:ser>
        <c:dLbls>
          <c:showLegendKey val="0"/>
          <c:showVal val="0"/>
          <c:showCatName val="0"/>
          <c:showSerName val="0"/>
          <c:showPercent val="0"/>
          <c:showBubbleSize val="0"/>
        </c:dLbls>
        <c:gapWidth val="150"/>
        <c:axId val="559422479"/>
        <c:axId val="455299359"/>
      </c:barChart>
      <c:lineChart>
        <c:grouping val="standard"/>
        <c:varyColors val="0"/>
        <c:ser>
          <c:idx val="1"/>
          <c:order val="1"/>
          <c:tx>
            <c:strRef>
              <c:f>Dashboard!$AF$21</c:f>
              <c:strCache>
                <c:ptCount val="1"/>
              </c:strCache>
            </c:strRef>
          </c:tx>
          <c:spPr>
            <a:ln w="28575" cap="rnd">
              <a:solidFill>
                <a:schemeClr val="accent2"/>
              </a:solidFill>
              <a:round/>
            </a:ln>
            <a:effectLst/>
          </c:spPr>
          <c:marker>
            <c:symbol val="none"/>
          </c:marker>
          <c:val>
            <c:numRef>
              <c:f>Dashboard!$AI$21:$AO$21</c:f>
              <c:numCache>
                <c:formatCode>"€"\ #,##0;\-"€"\ #,##0;\-</c:formatCode>
                <c:ptCount val="7"/>
              </c:numCache>
            </c:numRef>
          </c:val>
          <c:smooth val="0"/>
          <c:extLst>
            <c:ext xmlns:c16="http://schemas.microsoft.com/office/drawing/2014/chart" uri="{C3380CC4-5D6E-409C-BE32-E72D297353CC}">
              <c16:uniqueId val="{00000004-DD8D-4644-A9B3-D89AE7CAAFCE}"/>
            </c:ext>
          </c:extLst>
        </c:ser>
        <c:dLbls>
          <c:showLegendKey val="0"/>
          <c:showVal val="0"/>
          <c:showCatName val="0"/>
          <c:showSerName val="0"/>
          <c:showPercent val="0"/>
          <c:showBubbleSize val="0"/>
        </c:dLbls>
        <c:marker val="1"/>
        <c:smooth val="0"/>
        <c:axId val="559422479"/>
        <c:axId val="455299359"/>
      </c:lineChart>
      <c:catAx>
        <c:axId val="55942247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majorUnit val="1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Current</a:t>
            </a:r>
            <a:r>
              <a:rPr lang="en-US" b="1" baseline="0"/>
              <a:t> ratio</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Dashboard!$AF$22</c:f>
              <c:strCache>
                <c:ptCount val="1"/>
              </c:strCache>
            </c:strRef>
          </c:tx>
          <c:spPr>
            <a:ln w="28575" cap="rnd">
              <a:solidFill>
                <a:schemeClr val="accent1"/>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Dashboard!$AI$22:$AO$22</c:f>
              <c:numCache>
                <c:formatCode>0.0</c:formatCode>
                <c:ptCount val="7"/>
              </c:numCache>
            </c:numRef>
          </c:val>
          <c:smooth val="0"/>
          <c:extLst>
            <c:ext xmlns:c16="http://schemas.microsoft.com/office/drawing/2014/chart" uri="{C3380CC4-5D6E-409C-BE32-E72D297353CC}">
              <c16:uniqueId val="{00000002-8B91-446B-A746-C5A02FBCD224}"/>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Interest</a:t>
            </a:r>
            <a:r>
              <a:rPr lang="en-US" b="1" baseline="0"/>
              <a:t> Coverage Ratio</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Dashboard!$AF$16</c:f>
              <c:strCache>
                <c:ptCount val="1"/>
                <c:pt idx="0">
                  <c:v>ICR</c:v>
                </c:pt>
              </c:strCache>
            </c:strRef>
          </c:tx>
          <c:spPr>
            <a:ln w="28575" cap="rnd">
              <a:solidFill>
                <a:schemeClr val="accent1"/>
              </a:solidFill>
              <a:round/>
            </a:ln>
            <a:effectLst/>
          </c:spPr>
          <c:marker>
            <c:symbol val="none"/>
          </c:marker>
          <c:cat>
            <c:strRef>
              <c:f>Dashboard!$AI$3:$AO$3</c:f>
              <c:strCache>
                <c:ptCount val="7"/>
                <c:pt idx="0">
                  <c:v>R 24</c:v>
                </c:pt>
                <c:pt idx="1">
                  <c:v>R 25</c:v>
                </c:pt>
                <c:pt idx="2">
                  <c:v>P 26</c:v>
                </c:pt>
                <c:pt idx="3">
                  <c:v>P 27</c:v>
                </c:pt>
                <c:pt idx="4">
                  <c:v>P 28</c:v>
                </c:pt>
                <c:pt idx="5">
                  <c:v>P 29</c:v>
                </c:pt>
                <c:pt idx="6">
                  <c:v>P 30</c:v>
                </c:pt>
              </c:strCache>
            </c:strRef>
          </c:cat>
          <c:val>
            <c:numRef>
              <c:f>Dashboard!$AI$16:$AO$16</c:f>
              <c:numCache>
                <c:formatCode>0.0</c:formatCode>
                <c:ptCount val="7"/>
                <c:pt idx="0">
                  <c:v>17</c:v>
                </c:pt>
                <c:pt idx="1">
                  <c:v>14.833333333333334</c:v>
                </c:pt>
                <c:pt idx="2">
                  <c:v>7.074500000000012</c:v>
                </c:pt>
                <c:pt idx="3">
                  <c:v>1.1875476562500005</c:v>
                </c:pt>
                <c:pt idx="4">
                  <c:v>2.6252504062500002</c:v>
                </c:pt>
                <c:pt idx="5">
                  <c:v>3.9338412093939352</c:v>
                </c:pt>
                <c:pt idx="6">
                  <c:v>2.9797158414592566</c:v>
                </c:pt>
              </c:numCache>
            </c:numRef>
          </c:val>
          <c:smooth val="0"/>
          <c:extLst>
            <c:ext xmlns:c16="http://schemas.microsoft.com/office/drawing/2014/chart" uri="{C3380CC4-5D6E-409C-BE32-E72D297353CC}">
              <c16:uniqueId val="{00000001-FAB8-4911-A812-47427CC89253}"/>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Resultaat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Dashboard!$AF$13</c:f>
              <c:strCache>
                <c:ptCount val="1"/>
                <c:pt idx="0">
                  <c:v>Resultaat</c:v>
                </c:pt>
              </c:strCache>
            </c:strRef>
          </c:tx>
          <c:spPr>
            <a:solidFill>
              <a:schemeClr val="accent1"/>
            </a:solidFill>
            <a:ln>
              <a:noFill/>
            </a:ln>
            <a:effectLst/>
          </c:spPr>
          <c:invertIfNegative val="0"/>
          <c:cat>
            <c:strRef>
              <c:f>Dashboard!$AI$3:$AO$3</c:f>
              <c:strCache>
                <c:ptCount val="7"/>
                <c:pt idx="0">
                  <c:v>R 24</c:v>
                </c:pt>
                <c:pt idx="1">
                  <c:v>R 25</c:v>
                </c:pt>
                <c:pt idx="2">
                  <c:v>P 26</c:v>
                </c:pt>
                <c:pt idx="3">
                  <c:v>P 27</c:v>
                </c:pt>
                <c:pt idx="4">
                  <c:v>P 28</c:v>
                </c:pt>
                <c:pt idx="5">
                  <c:v>P 29</c:v>
                </c:pt>
                <c:pt idx="6">
                  <c:v>P 30</c:v>
                </c:pt>
              </c:strCache>
            </c:strRef>
          </c:cat>
          <c:val>
            <c:numRef>
              <c:f>Dashboard!$AI$13:$AO$13</c:f>
              <c:numCache>
                <c:formatCode>"€"\ #,##0;\-"€"\ #,##0;\-</c:formatCode>
                <c:ptCount val="7"/>
                <c:pt idx="0">
                  <c:v>63</c:v>
                </c:pt>
                <c:pt idx="1">
                  <c:v>53</c:v>
                </c:pt>
                <c:pt idx="2">
                  <c:v>41.058750000000117</c:v>
                </c:pt>
                <c:pt idx="3">
                  <c:v>32.25114375000004</c:v>
                </c:pt>
                <c:pt idx="4">
                  <c:v>36.756009750000004</c:v>
                </c:pt>
                <c:pt idx="5">
                  <c:v>70.362569932499895</c:v>
                </c:pt>
                <c:pt idx="6">
                  <c:v>37.839245789549921</c:v>
                </c:pt>
              </c:numCache>
            </c:numRef>
          </c:val>
          <c:extLst>
            <c:ext xmlns:c16="http://schemas.microsoft.com/office/drawing/2014/chart" uri="{C3380CC4-5D6E-409C-BE32-E72D297353CC}">
              <c16:uniqueId val="{00000000-A0DA-4C7B-87BD-6109FC2EB065}"/>
            </c:ext>
          </c:extLst>
        </c:ser>
        <c:dLbls>
          <c:showLegendKey val="0"/>
          <c:showVal val="0"/>
          <c:showCatName val="0"/>
          <c:showSerName val="0"/>
          <c:showPercent val="0"/>
          <c:showBubbleSize val="0"/>
        </c:dLbls>
        <c:gapWidth val="219"/>
        <c:overlap val="-27"/>
        <c:axId val="559422479"/>
        <c:axId val="455299359"/>
      </c:barChart>
      <c:lineChart>
        <c:grouping val="standard"/>
        <c:varyColors val="0"/>
        <c:ser>
          <c:idx val="1"/>
          <c:order val="1"/>
          <c:tx>
            <c:strRef>
              <c:f>Dashboard!$AF$14</c:f>
              <c:strCache>
                <c:ptCount val="1"/>
                <c:pt idx="0">
                  <c:v>Resultaat %</c:v>
                </c:pt>
              </c:strCache>
            </c:strRef>
          </c:tx>
          <c:spPr>
            <a:ln w="28575" cap="rnd">
              <a:solidFill>
                <a:schemeClr val="accent2"/>
              </a:solidFill>
              <a:round/>
            </a:ln>
            <a:effectLst/>
          </c:spPr>
          <c:marker>
            <c:symbol val="none"/>
          </c:marker>
          <c:val>
            <c:numRef>
              <c:f>Dashboard!$AI$14:$AO$14</c:f>
              <c:numCache>
                <c:formatCode>0.0%</c:formatCode>
                <c:ptCount val="7"/>
                <c:pt idx="0">
                  <c:v>0.11454545454545455</c:v>
                </c:pt>
                <c:pt idx="1">
                  <c:v>9.1379310344827588E-2</c:v>
                </c:pt>
                <c:pt idx="2">
                  <c:v>6.6053330115830297E-2</c:v>
                </c:pt>
                <c:pt idx="3">
                  <c:v>4.9697462976703181E-2</c:v>
                </c:pt>
                <c:pt idx="4">
                  <c:v>5.1889151934462821E-2</c:v>
                </c:pt>
                <c:pt idx="5">
                  <c:v>9.1394219185393005E-2</c:v>
                </c:pt>
                <c:pt idx="6">
                  <c:v>4.8185828797641175E-2</c:v>
                </c:pt>
              </c:numCache>
            </c:numRef>
          </c:val>
          <c:smooth val="0"/>
          <c:extLst>
            <c:ext xmlns:c16="http://schemas.microsoft.com/office/drawing/2014/chart" uri="{C3380CC4-5D6E-409C-BE32-E72D297353CC}">
              <c16:uniqueId val="{00000001-A0DA-4C7B-87BD-6109FC2EB065}"/>
            </c:ext>
          </c:extLst>
        </c:ser>
        <c:dLbls>
          <c:showLegendKey val="0"/>
          <c:showVal val="0"/>
          <c:showCatName val="0"/>
          <c:showSerName val="0"/>
          <c:showPercent val="0"/>
          <c:showBubbleSize val="0"/>
        </c:dLbls>
        <c:marker val="1"/>
        <c:smooth val="0"/>
        <c:axId val="650054239"/>
        <c:axId val="655594591"/>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valAx>
        <c:axId val="655594591"/>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650054239"/>
        <c:crosses val="max"/>
        <c:crossBetween val="between"/>
      </c:valAx>
      <c:catAx>
        <c:axId val="650054239"/>
        <c:scaling>
          <c:orientation val="minMax"/>
        </c:scaling>
        <c:delete val="1"/>
        <c:axPos val="b"/>
        <c:majorTickMark val="out"/>
        <c:minorTickMark val="none"/>
        <c:tickLblPos val="nextTo"/>
        <c:crossAx val="655594591"/>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3</xdr:col>
      <xdr:colOff>0</xdr:colOff>
      <xdr:row>3</xdr:row>
      <xdr:rowOff>0</xdr:rowOff>
    </xdr:from>
    <xdr:to>
      <xdr:col>7</xdr:col>
      <xdr:colOff>584200</xdr:colOff>
      <xdr:row>12</xdr:row>
      <xdr:rowOff>76200</xdr:rowOff>
    </xdr:to>
    <xdr:graphicFrame macro="">
      <xdr:nvGraphicFramePr>
        <xdr:cNvPr id="2" name="Chart 1">
          <a:extLst>
            <a:ext uri="{FF2B5EF4-FFF2-40B4-BE49-F238E27FC236}">
              <a16:creationId xmlns:a16="http://schemas.microsoft.com/office/drawing/2014/main" id="{F22B473E-4B63-47EB-BB89-C407721097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42335</xdr:colOff>
      <xdr:row>3</xdr:row>
      <xdr:rowOff>0</xdr:rowOff>
    </xdr:from>
    <xdr:to>
      <xdr:col>14</xdr:col>
      <xdr:colOff>48261</xdr:colOff>
      <xdr:row>12</xdr:row>
      <xdr:rowOff>76200</xdr:rowOff>
    </xdr:to>
    <xdr:graphicFrame macro="">
      <xdr:nvGraphicFramePr>
        <xdr:cNvPr id="4" name="Chart 3">
          <a:extLst>
            <a:ext uri="{FF2B5EF4-FFF2-40B4-BE49-F238E27FC236}">
              <a16:creationId xmlns:a16="http://schemas.microsoft.com/office/drawing/2014/main" id="{B2B63CF5-CC57-4CFF-8AD2-17A2526F2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3</xdr:row>
      <xdr:rowOff>0</xdr:rowOff>
    </xdr:from>
    <xdr:to>
      <xdr:col>19</xdr:col>
      <xdr:colOff>584200</xdr:colOff>
      <xdr:row>12</xdr:row>
      <xdr:rowOff>76200</xdr:rowOff>
    </xdr:to>
    <xdr:graphicFrame macro="">
      <xdr:nvGraphicFramePr>
        <xdr:cNvPr id="7" name="Chart 6">
          <a:extLst>
            <a:ext uri="{FF2B5EF4-FFF2-40B4-BE49-F238E27FC236}">
              <a16:creationId xmlns:a16="http://schemas.microsoft.com/office/drawing/2014/main" id="{FDD49A58-E2E5-4A79-AA26-B29D7B116E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160866</xdr:colOff>
      <xdr:row>12</xdr:row>
      <xdr:rowOff>177800</xdr:rowOff>
    </xdr:from>
    <xdr:to>
      <xdr:col>9</xdr:col>
      <xdr:colOff>0</xdr:colOff>
      <xdr:row>22</xdr:row>
      <xdr:rowOff>93135</xdr:rowOff>
    </xdr:to>
    <xdr:graphicFrame macro="">
      <xdr:nvGraphicFramePr>
        <xdr:cNvPr id="8" name="Chart 7">
          <a:extLst>
            <a:ext uri="{FF2B5EF4-FFF2-40B4-BE49-F238E27FC236}">
              <a16:creationId xmlns:a16="http://schemas.microsoft.com/office/drawing/2014/main" id="{B5F24BA4-D0D2-40C1-AD5E-85A662C033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533392</xdr:colOff>
      <xdr:row>15</xdr:row>
      <xdr:rowOff>118535</xdr:rowOff>
    </xdr:from>
    <xdr:to>
      <xdr:col>5</xdr:col>
      <xdr:colOff>296325</xdr:colOff>
      <xdr:row>16</xdr:row>
      <xdr:rowOff>118535</xdr:rowOff>
    </xdr:to>
    <xdr:sp macro="" textlink="">
      <xdr:nvSpPr>
        <xdr:cNvPr id="9" name="TextBox 8">
          <a:extLst>
            <a:ext uri="{FF2B5EF4-FFF2-40B4-BE49-F238E27FC236}">
              <a16:creationId xmlns:a16="http://schemas.microsoft.com/office/drawing/2014/main" id="{DCD52691-0B70-4199-A38C-161EC8EF200D}"/>
            </a:ext>
          </a:extLst>
        </xdr:cNvPr>
        <xdr:cNvSpPr txBox="1"/>
      </xdr:nvSpPr>
      <xdr:spPr>
        <a:xfrm>
          <a:off x="922859" y="2734735"/>
          <a:ext cx="982133" cy="1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baseline="0">
              <a:solidFill>
                <a:schemeClr val="accent2"/>
              </a:solidFill>
            </a:rPr>
            <a:t>% van opbrengsten</a:t>
          </a:r>
          <a:endParaRPr lang="nl-NL" sz="800">
            <a:solidFill>
              <a:schemeClr val="accent2"/>
            </a:solidFill>
          </a:endParaRPr>
        </a:p>
      </xdr:txBody>
    </xdr:sp>
    <xdr:clientData/>
  </xdr:twoCellAnchor>
  <xdr:twoCellAnchor>
    <xdr:from>
      <xdr:col>15</xdr:col>
      <xdr:colOff>0</xdr:colOff>
      <xdr:row>23</xdr:row>
      <xdr:rowOff>0</xdr:rowOff>
    </xdr:from>
    <xdr:to>
      <xdr:col>20</xdr:col>
      <xdr:colOff>5926</xdr:colOff>
      <xdr:row>23</xdr:row>
      <xdr:rowOff>76200</xdr:rowOff>
    </xdr:to>
    <xdr:graphicFrame macro="">
      <xdr:nvGraphicFramePr>
        <xdr:cNvPr id="10" name="Chart 9">
          <a:extLst>
            <a:ext uri="{FF2B5EF4-FFF2-40B4-BE49-F238E27FC236}">
              <a16:creationId xmlns:a16="http://schemas.microsoft.com/office/drawing/2014/main" id="{F963788A-3BC0-4213-A3F3-7959633F49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23</xdr:row>
      <xdr:rowOff>0</xdr:rowOff>
    </xdr:from>
    <xdr:to>
      <xdr:col>7</xdr:col>
      <xdr:colOff>584200</xdr:colOff>
      <xdr:row>23</xdr:row>
      <xdr:rowOff>76200</xdr:rowOff>
    </xdr:to>
    <xdr:graphicFrame macro="">
      <xdr:nvGraphicFramePr>
        <xdr:cNvPr id="12" name="Chart 11">
          <a:extLst>
            <a:ext uri="{FF2B5EF4-FFF2-40B4-BE49-F238E27FC236}">
              <a16:creationId xmlns:a16="http://schemas.microsoft.com/office/drawing/2014/main" id="{67AE4002-5EF7-4A18-AC9F-9AB73C20A8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42335</xdr:colOff>
      <xdr:row>23</xdr:row>
      <xdr:rowOff>0</xdr:rowOff>
    </xdr:from>
    <xdr:to>
      <xdr:col>14</xdr:col>
      <xdr:colOff>48261</xdr:colOff>
      <xdr:row>23</xdr:row>
      <xdr:rowOff>76200</xdr:rowOff>
    </xdr:to>
    <xdr:graphicFrame macro="">
      <xdr:nvGraphicFramePr>
        <xdr:cNvPr id="13" name="Chart 12">
          <a:extLst>
            <a:ext uri="{FF2B5EF4-FFF2-40B4-BE49-F238E27FC236}">
              <a16:creationId xmlns:a16="http://schemas.microsoft.com/office/drawing/2014/main" id="{19071401-9725-40D6-A478-045BCB6BF5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15</xdr:col>
      <xdr:colOff>1</xdr:colOff>
      <xdr:row>12</xdr:row>
      <xdr:rowOff>152400</xdr:rowOff>
    </xdr:from>
    <xdr:to>
      <xdr:col>19</xdr:col>
      <xdr:colOff>533401</xdr:colOff>
      <xdr:row>23</xdr:row>
      <xdr:rowOff>0</xdr:rowOff>
    </xdr:to>
    <xdr:graphicFrame macro="">
      <xdr:nvGraphicFramePr>
        <xdr:cNvPr id="14" name="Chart 13">
          <a:extLst>
            <a:ext uri="{FF2B5EF4-FFF2-40B4-BE49-F238E27FC236}">
              <a16:creationId xmlns:a16="http://schemas.microsoft.com/office/drawing/2014/main" id="{91FD7627-7392-49DA-B698-2EF0015A6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15</xdr:col>
      <xdr:colOff>440267</xdr:colOff>
      <xdr:row>5</xdr:row>
      <xdr:rowOff>101600</xdr:rowOff>
    </xdr:from>
    <xdr:to>
      <xdr:col>16</xdr:col>
      <xdr:colOff>601134</xdr:colOff>
      <xdr:row>7</xdr:row>
      <xdr:rowOff>101601</xdr:rowOff>
    </xdr:to>
    <xdr:sp macro="" textlink="">
      <xdr:nvSpPr>
        <xdr:cNvPr id="20" name="TextBox 19">
          <a:extLst>
            <a:ext uri="{FF2B5EF4-FFF2-40B4-BE49-F238E27FC236}">
              <a16:creationId xmlns:a16="http://schemas.microsoft.com/office/drawing/2014/main" id="{C5F2D860-2894-4061-89A7-F482C9977E49}"/>
            </a:ext>
          </a:extLst>
        </xdr:cNvPr>
        <xdr:cNvSpPr txBox="1"/>
      </xdr:nvSpPr>
      <xdr:spPr>
        <a:xfrm>
          <a:off x="7171267" y="855133"/>
          <a:ext cx="770467" cy="37253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700">
              <a:solidFill>
                <a:schemeClr val="accent2"/>
              </a:solidFill>
            </a:rPr>
            <a:t>Overige</a:t>
          </a:r>
        </a:p>
        <a:p>
          <a:r>
            <a:rPr lang="nl-NL" sz="700" baseline="0">
              <a:solidFill>
                <a:schemeClr val="accent1">
                  <a:lumMod val="75000"/>
                </a:schemeClr>
              </a:solidFill>
            </a:rPr>
            <a:t>Productgroep</a:t>
          </a:r>
        </a:p>
        <a:p>
          <a:endParaRPr lang="nl-NL" sz="700">
            <a:solidFill>
              <a:schemeClr val="accent1">
                <a:lumMod val="75000"/>
              </a:schemeClr>
            </a:solidFill>
          </a:endParaRPr>
        </a:p>
      </xdr:txBody>
    </xdr:sp>
    <xdr:clientData/>
  </xdr:twoCellAnchor>
  <xdr:twoCellAnchor>
    <xdr:from>
      <xdr:col>9</xdr:col>
      <xdr:colOff>42335</xdr:colOff>
      <xdr:row>13</xdr:row>
      <xdr:rowOff>0</xdr:rowOff>
    </xdr:from>
    <xdr:to>
      <xdr:col>14</xdr:col>
      <xdr:colOff>8469</xdr:colOff>
      <xdr:row>22</xdr:row>
      <xdr:rowOff>101602</xdr:rowOff>
    </xdr:to>
    <xdr:graphicFrame macro="">
      <xdr:nvGraphicFramePr>
        <xdr:cNvPr id="21" name="Chart 20">
          <a:extLst>
            <a:ext uri="{FF2B5EF4-FFF2-40B4-BE49-F238E27FC236}">
              <a16:creationId xmlns:a16="http://schemas.microsoft.com/office/drawing/2014/main" id="{F870BB70-D2EF-4CB1-ACAB-6FA239CED5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67734</xdr:colOff>
      <xdr:row>16</xdr:row>
      <xdr:rowOff>42337</xdr:rowOff>
    </xdr:from>
    <xdr:to>
      <xdr:col>11</xdr:col>
      <xdr:colOff>304800</xdr:colOff>
      <xdr:row>17</xdr:row>
      <xdr:rowOff>33872</xdr:rowOff>
    </xdr:to>
    <xdr:sp macro="" textlink="">
      <xdr:nvSpPr>
        <xdr:cNvPr id="23" name="TextBox 22">
          <a:extLst>
            <a:ext uri="{FF2B5EF4-FFF2-40B4-BE49-F238E27FC236}">
              <a16:creationId xmlns:a16="http://schemas.microsoft.com/office/drawing/2014/main" id="{4026F7A0-6CEF-4689-9685-B691BF97E23A}"/>
            </a:ext>
          </a:extLst>
        </xdr:cNvPr>
        <xdr:cNvSpPr txBox="1"/>
      </xdr:nvSpPr>
      <xdr:spPr>
        <a:xfrm>
          <a:off x="4241801" y="2844804"/>
          <a:ext cx="846666" cy="177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2"/>
              </a:solidFill>
            </a:rPr>
            <a:t>Resultaat</a:t>
          </a:r>
          <a:r>
            <a:rPr lang="nl-NL" sz="800" baseline="0">
              <a:solidFill>
                <a:schemeClr val="accent2"/>
              </a:solidFill>
            </a:rPr>
            <a:t> %</a:t>
          </a:r>
          <a:endParaRPr lang="nl-NL" sz="800">
            <a:solidFill>
              <a:schemeClr val="accent2"/>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knowyourfinance.nl/" TargetMode="External"/><Relationship Id="rId1" Type="http://schemas.openxmlformats.org/officeDocument/2006/relationships/hyperlink" Target="mailto:info@knowyourfinance.n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FB8D-46D4-46AC-B09A-F84FB8CE760C}">
  <dimension ref="B2:F13"/>
  <sheetViews>
    <sheetView showGridLines="0" zoomScale="90" zoomScaleNormal="90" workbookViewId="0"/>
  </sheetViews>
  <sheetFormatPr defaultColWidth="9.109375" defaultRowHeight="14.4" x14ac:dyDescent="0.3"/>
  <cols>
    <col min="1" max="1" width="2.21875" style="6" customWidth="1"/>
    <col min="2" max="2" width="106.88671875" style="6" customWidth="1"/>
    <col min="3" max="3" width="9.109375" style="6"/>
    <col min="4" max="4" width="91.5546875" style="6" customWidth="1"/>
    <col min="5" max="16384" width="9.109375" style="6"/>
  </cols>
  <sheetData>
    <row r="2" spans="2:6" x14ac:dyDescent="0.3">
      <c r="B2" s="157" t="s">
        <v>60</v>
      </c>
      <c r="C2" s="5"/>
      <c r="D2" s="5"/>
      <c r="E2" s="5"/>
      <c r="F2" s="5"/>
    </row>
    <row r="4" spans="2:6" ht="48.6" customHeight="1" x14ac:dyDescent="0.3">
      <c r="B4" s="28" t="s">
        <v>182</v>
      </c>
    </row>
    <row r="5" spans="2:6" x14ac:dyDescent="0.3">
      <c r="B5" s="6" t="s">
        <v>183</v>
      </c>
    </row>
    <row r="6" spans="2:6" ht="46.2" customHeight="1" x14ac:dyDescent="0.3">
      <c r="B6" s="6" t="s">
        <v>184</v>
      </c>
    </row>
    <row r="7" spans="2:6" s="28" customFormat="1" ht="82.2" customHeight="1" x14ac:dyDescent="0.3">
      <c r="B7" s="6" t="s">
        <v>152</v>
      </c>
    </row>
    <row r="8" spans="2:6" s="28" customFormat="1" ht="34.200000000000003" customHeight="1" x14ac:dyDescent="0.3">
      <c r="B8" s="6" t="s">
        <v>153</v>
      </c>
    </row>
    <row r="9" spans="2:6" ht="78" customHeight="1" x14ac:dyDescent="0.3">
      <c r="B9" s="6" t="s">
        <v>185</v>
      </c>
    </row>
    <row r="10" spans="2:6" ht="33.6" customHeight="1" x14ac:dyDescent="0.3"/>
    <row r="11" spans="2:6" ht="62.4" customHeight="1" x14ac:dyDescent="0.3"/>
    <row r="12" spans="2:6" ht="51.6" customHeight="1" x14ac:dyDescent="0.3"/>
    <row r="13" spans="2:6" ht="62.4" customHeight="1" x14ac:dyDescent="0.3"/>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O66"/>
  <sheetViews>
    <sheetView showGridLines="0" zoomScale="90" zoomScaleNormal="90" workbookViewId="0"/>
  </sheetViews>
  <sheetFormatPr defaultColWidth="9.109375" defaultRowHeight="14.4" outlineLevelRow="1" x14ac:dyDescent="0.3"/>
  <cols>
    <col min="1" max="1" width="2.21875" style="6" customWidth="1"/>
    <col min="2" max="2" width="106.88671875" style="6" customWidth="1"/>
    <col min="3" max="16384" width="9.109375" style="6"/>
  </cols>
  <sheetData>
    <row r="2" spans="2:6" ht="15.6" x14ac:dyDescent="0.3">
      <c r="B2" s="11" t="s">
        <v>59</v>
      </c>
    </row>
    <row r="4" spans="2:6" x14ac:dyDescent="0.3">
      <c r="B4" s="157" t="s">
        <v>146</v>
      </c>
      <c r="C4" s="5"/>
      <c r="D4" s="5"/>
      <c r="E4" s="5"/>
      <c r="F4" s="5"/>
    </row>
    <row r="5" spans="2:6" s="28" customFormat="1" outlineLevel="1" x14ac:dyDescent="0.3"/>
    <row r="6" spans="2:6" ht="48.6" customHeight="1" outlineLevel="1" x14ac:dyDescent="0.3">
      <c r="B6" s="6" t="s">
        <v>186</v>
      </c>
      <c r="D6" s="105"/>
    </row>
    <row r="7" spans="2:6" ht="49.2" customHeight="1" outlineLevel="1" x14ac:dyDescent="0.3">
      <c r="B7" s="6" t="s">
        <v>147</v>
      </c>
    </row>
    <row r="8" spans="2:6" outlineLevel="1" x14ac:dyDescent="0.3">
      <c r="B8" s="106" t="s">
        <v>148</v>
      </c>
      <c r="D8" s="107"/>
    </row>
    <row r="9" spans="2:6" outlineLevel="1" x14ac:dyDescent="0.3">
      <c r="B9" s="106" t="s">
        <v>149</v>
      </c>
      <c r="D9" s="107"/>
    </row>
    <row r="10" spans="2:6" ht="16.8" x14ac:dyDescent="0.3">
      <c r="B10" s="107"/>
      <c r="D10" s="105"/>
    </row>
    <row r="11" spans="2:6" x14ac:dyDescent="0.3">
      <c r="B11" s="157" t="s">
        <v>150</v>
      </c>
      <c r="C11" s="5"/>
      <c r="D11" s="5"/>
      <c r="E11" s="5"/>
      <c r="F11" s="5"/>
    </row>
    <row r="12" spans="2:6" s="28" customFormat="1" outlineLevel="1" x14ac:dyDescent="0.3"/>
    <row r="13" spans="2:6" s="28" customFormat="1" outlineLevel="1" x14ac:dyDescent="0.3">
      <c r="B13" s="28" t="s">
        <v>195</v>
      </c>
    </row>
    <row r="14" spans="2:6" s="28" customFormat="1" ht="34.799999999999997" customHeight="1" outlineLevel="1" x14ac:dyDescent="0.3">
      <c r="B14" s="28" t="s">
        <v>196</v>
      </c>
    </row>
    <row r="15" spans="2:6" s="28" customFormat="1" ht="59.4" customHeight="1" outlineLevel="1" x14ac:dyDescent="0.3">
      <c r="B15" s="28" t="s">
        <v>197</v>
      </c>
    </row>
    <row r="16" spans="2:6" s="28" customFormat="1" outlineLevel="1" x14ac:dyDescent="0.3"/>
    <row r="17" spans="2:15" s="28" customFormat="1" ht="28.8" outlineLevel="1" x14ac:dyDescent="0.3">
      <c r="B17" s="28" t="s">
        <v>198</v>
      </c>
    </row>
    <row r="18" spans="2:15" outlineLevel="1" x14ac:dyDescent="0.3">
      <c r="B18" s="6" t="s">
        <v>96</v>
      </c>
    </row>
    <row r="19" spans="2:15" outlineLevel="1" x14ac:dyDescent="0.3">
      <c r="B19" s="6" t="s">
        <v>104</v>
      </c>
    </row>
    <row r="20" spans="2:15" outlineLevel="1" x14ac:dyDescent="0.3">
      <c r="B20" s="6" t="s">
        <v>117</v>
      </c>
    </row>
    <row r="21" spans="2:15" customFormat="1" outlineLevel="1" x14ac:dyDescent="0.3">
      <c r="B21" s="6" t="s">
        <v>199</v>
      </c>
      <c r="L21" s="4"/>
      <c r="M21" s="4"/>
      <c r="N21" s="4"/>
      <c r="O21" s="4"/>
    </row>
    <row r="22" spans="2:15" customFormat="1" outlineLevel="1" x14ac:dyDescent="0.3">
      <c r="B22" s="6"/>
      <c r="L22" s="4"/>
      <c r="M22" s="4"/>
      <c r="N22" s="4"/>
      <c r="O22" s="4"/>
    </row>
    <row r="23" spans="2:15" ht="33" customHeight="1" outlineLevel="1" x14ac:dyDescent="0.3">
      <c r="B23" s="6" t="s">
        <v>58</v>
      </c>
    </row>
    <row r="25" spans="2:15" x14ac:dyDescent="0.3">
      <c r="B25" s="157" t="s">
        <v>52</v>
      </c>
      <c r="C25" s="5"/>
      <c r="D25" s="5"/>
      <c r="E25" s="5"/>
      <c r="F25" s="5"/>
    </row>
    <row r="26" spans="2:15" outlineLevel="1" x14ac:dyDescent="0.3">
      <c r="B26" s="28"/>
      <c r="C26" s="78"/>
      <c r="D26" s="78"/>
      <c r="E26" s="78"/>
      <c r="F26" s="78"/>
    </row>
    <row r="27" spans="2:15" outlineLevel="1" x14ac:dyDescent="0.3">
      <c r="B27" s="79" t="s">
        <v>112</v>
      </c>
      <c r="C27" s="78"/>
      <c r="D27" s="78"/>
      <c r="E27" s="78"/>
      <c r="F27" s="78"/>
    </row>
    <row r="28" spans="2:15" outlineLevel="1" x14ac:dyDescent="0.3">
      <c r="B28" s="6" t="s">
        <v>53</v>
      </c>
    </row>
    <row r="29" spans="2:15" outlineLevel="1" x14ac:dyDescent="0.3">
      <c r="B29" s="7" t="s">
        <v>54</v>
      </c>
    </row>
    <row r="30" spans="2:15" outlineLevel="1" x14ac:dyDescent="0.3">
      <c r="B30" s="6" t="s">
        <v>55</v>
      </c>
    </row>
    <row r="31" spans="2:15" outlineLevel="1" x14ac:dyDescent="0.3">
      <c r="B31" s="108" t="s">
        <v>135</v>
      </c>
    </row>
    <row r="32" spans="2:15" outlineLevel="1" x14ac:dyDescent="0.3">
      <c r="B32" s="28" t="s">
        <v>151</v>
      </c>
    </row>
    <row r="33" spans="2:6" ht="28.8" customHeight="1" outlineLevel="1" x14ac:dyDescent="0.3">
      <c r="B33" s="6" t="s">
        <v>56</v>
      </c>
    </row>
    <row r="34" spans="2:6" outlineLevel="1" x14ac:dyDescent="0.3">
      <c r="B34" s="28"/>
    </row>
    <row r="35" spans="2:6" outlineLevel="1" x14ac:dyDescent="0.3">
      <c r="B35" s="79" t="s">
        <v>113</v>
      </c>
    </row>
    <row r="36" spans="2:6" outlineLevel="1" x14ac:dyDescent="0.3">
      <c r="B36" s="6" t="s">
        <v>200</v>
      </c>
    </row>
    <row r="37" spans="2:6" outlineLevel="1" x14ac:dyDescent="0.3">
      <c r="B37" s="6" t="s">
        <v>201</v>
      </c>
    </row>
    <row r="38" spans="2:6" outlineLevel="1" x14ac:dyDescent="0.3">
      <c r="B38" s="6" t="s">
        <v>115</v>
      </c>
    </row>
    <row r="39" spans="2:6" ht="50.4" customHeight="1" outlineLevel="1" x14ac:dyDescent="0.3">
      <c r="B39" s="6" t="s">
        <v>127</v>
      </c>
    </row>
    <row r="40" spans="2:6" ht="28.8" outlineLevel="1" x14ac:dyDescent="0.3">
      <c r="B40" s="6" t="s">
        <v>106</v>
      </c>
    </row>
    <row r="41" spans="2:6" outlineLevel="1" x14ac:dyDescent="0.3">
      <c r="B41" s="28"/>
    </row>
    <row r="42" spans="2:6" outlineLevel="1" x14ac:dyDescent="0.3">
      <c r="B42" s="79" t="s">
        <v>116</v>
      </c>
    </row>
    <row r="43" spans="2:6" ht="32.4" customHeight="1" outlineLevel="1" x14ac:dyDescent="0.3">
      <c r="B43" s="6" t="s">
        <v>202</v>
      </c>
    </row>
    <row r="44" spans="2:6" ht="16.8" customHeight="1" outlineLevel="1" x14ac:dyDescent="0.3"/>
    <row r="45" spans="2:6" ht="32.4" customHeight="1" outlineLevel="1" x14ac:dyDescent="0.3">
      <c r="B45" s="6" t="s">
        <v>187</v>
      </c>
    </row>
    <row r="46" spans="2:6" ht="16.8" customHeight="1" x14ac:dyDescent="0.3"/>
    <row r="47" spans="2:6" x14ac:dyDescent="0.3">
      <c r="B47" s="157" t="s">
        <v>114</v>
      </c>
      <c r="C47" s="5"/>
      <c r="D47" s="5"/>
      <c r="E47" s="5"/>
      <c r="F47" s="5"/>
    </row>
    <row r="48" spans="2:6" outlineLevel="1" x14ac:dyDescent="0.3"/>
    <row r="49" spans="2:2" outlineLevel="1" x14ac:dyDescent="0.3">
      <c r="B49" s="6" t="s">
        <v>57</v>
      </c>
    </row>
    <row r="50" spans="2:2" outlineLevel="1" x14ac:dyDescent="0.3"/>
    <row r="51" spans="2:2" outlineLevel="1" x14ac:dyDescent="0.3">
      <c r="B51" s="93" t="s">
        <v>128</v>
      </c>
    </row>
    <row r="52" spans="2:2" outlineLevel="1" x14ac:dyDescent="0.3">
      <c r="B52" s="7" t="s">
        <v>203</v>
      </c>
    </row>
    <row r="53" spans="2:2" outlineLevel="1" x14ac:dyDescent="0.3">
      <c r="B53" s="7" t="s">
        <v>154</v>
      </c>
    </row>
    <row r="54" spans="2:2" outlineLevel="1" x14ac:dyDescent="0.3">
      <c r="B54" s="7" t="s">
        <v>204</v>
      </c>
    </row>
    <row r="55" spans="2:2" outlineLevel="1" x14ac:dyDescent="0.3"/>
    <row r="56" spans="2:2" outlineLevel="1" x14ac:dyDescent="0.3">
      <c r="B56" s="93" t="s">
        <v>129</v>
      </c>
    </row>
    <row r="57" spans="2:2" outlineLevel="1" x14ac:dyDescent="0.3">
      <c r="B57" s="7" t="s">
        <v>130</v>
      </c>
    </row>
    <row r="58" spans="2:2" outlineLevel="1" x14ac:dyDescent="0.3">
      <c r="B58" s="7" t="s">
        <v>131</v>
      </c>
    </row>
    <row r="59" spans="2:2" outlineLevel="1" x14ac:dyDescent="0.3">
      <c r="B59" s="7" t="s">
        <v>205</v>
      </c>
    </row>
    <row r="60" spans="2:2" outlineLevel="1" x14ac:dyDescent="0.3">
      <c r="B60" s="7" t="s">
        <v>132</v>
      </c>
    </row>
    <row r="61" spans="2:2" outlineLevel="1" x14ac:dyDescent="0.3">
      <c r="B61" s="7"/>
    </row>
    <row r="62" spans="2:2" outlineLevel="1" x14ac:dyDescent="0.3">
      <c r="B62" s="93" t="s">
        <v>133</v>
      </c>
    </row>
    <row r="63" spans="2:2" ht="28.8" outlineLevel="1" x14ac:dyDescent="0.3">
      <c r="B63" s="7" t="s">
        <v>206</v>
      </c>
    </row>
    <row r="64" spans="2:2" outlineLevel="1" x14ac:dyDescent="0.3">
      <c r="B64" s="7" t="s">
        <v>82</v>
      </c>
    </row>
    <row r="65" spans="2:2" outlineLevel="1" x14ac:dyDescent="0.3">
      <c r="B65" s="7" t="s">
        <v>134</v>
      </c>
    </row>
    <row r="66" spans="2:2" x14ac:dyDescent="0.3">
      <c r="B66" s="7"/>
    </row>
  </sheetData>
  <hyperlinks>
    <hyperlink ref="B8" r:id="rId1" xr:uid="{7CC75061-1EB2-401C-BCAB-7E940367E23C}"/>
    <hyperlink ref="B9" r:id="rId2" xr:uid="{AD4B3D73-BD34-4D21-AFAE-B5411F74EA64}"/>
  </hyperlinks>
  <pageMargins left="0.7" right="0.7" top="0.75" bottom="0.75" header="0.3" footer="0.3"/>
  <pageSetup paperSize="9" orientation="portrait"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5AA2-DEE8-4C30-9EEF-CC8CF45AD0B9}">
  <dimension ref="B2:C29"/>
  <sheetViews>
    <sheetView showGridLines="0" workbookViewId="0"/>
  </sheetViews>
  <sheetFormatPr defaultRowHeight="14.4" x14ac:dyDescent="0.3"/>
  <cols>
    <col min="1" max="1" width="2.21875" customWidth="1"/>
    <col min="2" max="2" width="12.44140625" customWidth="1"/>
    <col min="3" max="3" width="46.33203125" customWidth="1"/>
  </cols>
  <sheetData>
    <row r="2" spans="2:3" s="6" customFormat="1" x14ac:dyDescent="0.3">
      <c r="B2" s="145" t="s">
        <v>28</v>
      </c>
      <c r="C2" s="145"/>
    </row>
    <row r="3" spans="2:3" s="6" customFormat="1" x14ac:dyDescent="0.3">
      <c r="B3" s="29"/>
    </row>
    <row r="4" spans="2:3" s="6" customFormat="1" x14ac:dyDescent="0.3">
      <c r="B4" s="29" t="s">
        <v>29</v>
      </c>
      <c r="C4" s="6" t="s">
        <v>139</v>
      </c>
    </row>
    <row r="5" spans="2:3" s="6" customFormat="1" ht="28.8" x14ac:dyDescent="0.3">
      <c r="B5" s="29" t="s">
        <v>12</v>
      </c>
      <c r="C5" s="6" t="s">
        <v>83</v>
      </c>
    </row>
    <row r="6" spans="2:3" s="6" customFormat="1" x14ac:dyDescent="0.3">
      <c r="B6" s="29" t="s">
        <v>86</v>
      </c>
      <c r="C6" s="6" t="s">
        <v>87</v>
      </c>
    </row>
    <row r="7" spans="2:3" s="6" customFormat="1" ht="28.8" x14ac:dyDescent="0.3">
      <c r="B7" s="29" t="s">
        <v>16</v>
      </c>
      <c r="C7" s="6" t="s">
        <v>85</v>
      </c>
    </row>
    <row r="8" spans="2:3" s="6" customFormat="1" x14ac:dyDescent="0.3">
      <c r="B8" s="29" t="s">
        <v>84</v>
      </c>
      <c r="C8" s="6" t="s">
        <v>2</v>
      </c>
    </row>
    <row r="9" spans="2:3" s="6" customFormat="1" x14ac:dyDescent="0.3">
      <c r="B9" s="29" t="s">
        <v>90</v>
      </c>
      <c r="C9" s="6" t="s">
        <v>91</v>
      </c>
    </row>
    <row r="10" spans="2:3" s="6" customFormat="1" x14ac:dyDescent="0.3">
      <c r="B10" s="29" t="s">
        <v>92</v>
      </c>
      <c r="C10" s="6" t="s">
        <v>93</v>
      </c>
    </row>
    <row r="11" spans="2:3" s="6" customFormat="1" x14ac:dyDescent="0.3">
      <c r="B11" s="29" t="s">
        <v>94</v>
      </c>
      <c r="C11" s="6" t="s">
        <v>95</v>
      </c>
    </row>
    <row r="12" spans="2:3" s="6" customFormat="1" x14ac:dyDescent="0.3">
      <c r="B12" s="29" t="s">
        <v>88</v>
      </c>
      <c r="C12" s="6" t="s">
        <v>89</v>
      </c>
    </row>
    <row r="13" spans="2:3" s="6" customFormat="1" x14ac:dyDescent="0.3">
      <c r="B13" s="29" t="s">
        <v>31</v>
      </c>
      <c r="C13" s="6" t="s">
        <v>14</v>
      </c>
    </row>
    <row r="14" spans="2:3" s="6" customFormat="1" x14ac:dyDescent="0.3"/>
    <row r="15" spans="2:3" s="6" customFormat="1" x14ac:dyDescent="0.3"/>
    <row r="16" spans="2:3" s="6" customFormat="1" x14ac:dyDescent="0.3"/>
    <row r="17" s="6" customFormat="1" x14ac:dyDescent="0.3"/>
    <row r="18" s="6" customFormat="1" x14ac:dyDescent="0.3"/>
    <row r="19" s="6" customFormat="1" x14ac:dyDescent="0.3"/>
    <row r="20" s="6" customFormat="1" x14ac:dyDescent="0.3"/>
    <row r="21" s="6" customFormat="1" x14ac:dyDescent="0.3"/>
    <row r="22" s="6" customFormat="1" x14ac:dyDescent="0.3"/>
    <row r="23" s="6" customFormat="1" x14ac:dyDescent="0.3"/>
    <row r="24" s="6" customFormat="1" x14ac:dyDescent="0.3"/>
    <row r="25" s="6" customFormat="1" x14ac:dyDescent="0.3"/>
    <row r="26" s="6" customFormat="1" x14ac:dyDescent="0.3"/>
    <row r="27" s="6" customFormat="1" x14ac:dyDescent="0.3"/>
    <row r="28" s="6" customFormat="1" x14ac:dyDescent="0.3"/>
    <row r="29" s="6" customFormat="1"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032EF-EC6D-4AE9-A404-D277724C4416}">
  <sheetPr>
    <tabColor theme="4" tint="-0.249977111117893"/>
  </sheetPr>
  <dimension ref="A1"/>
  <sheetViews>
    <sheetView showGridLines="0"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F0162-15B1-4A03-9A17-67751E9E6D77}">
  <dimension ref="B1:E17"/>
  <sheetViews>
    <sheetView showGridLines="0" workbookViewId="0"/>
  </sheetViews>
  <sheetFormatPr defaultRowHeight="14.4" x14ac:dyDescent="0.3"/>
  <cols>
    <col min="1" max="1" width="2.21875" customWidth="1"/>
    <col min="2" max="2" width="14.6640625" style="118" customWidth="1"/>
    <col min="3" max="3" width="2.33203125" customWidth="1"/>
    <col min="4" max="4" width="21.33203125" customWidth="1"/>
    <col min="5" max="5" width="76.33203125" customWidth="1"/>
  </cols>
  <sheetData>
    <row r="1" spans="2:5" ht="7.8" customHeight="1" x14ac:dyDescent="0.3"/>
    <row r="2" spans="2:5" s="6" customFormat="1" x14ac:dyDescent="0.3">
      <c r="B2" s="144" t="s">
        <v>172</v>
      </c>
      <c r="C2" s="145"/>
      <c r="D2" s="145"/>
      <c r="E2" s="145"/>
    </row>
    <row r="3" spans="2:5" s="6" customFormat="1" x14ac:dyDescent="0.3">
      <c r="B3" s="146"/>
    </row>
    <row r="4" spans="2:5" s="6" customFormat="1" ht="21" customHeight="1" x14ac:dyDescent="0.3">
      <c r="B4" s="147" t="s">
        <v>173</v>
      </c>
      <c r="C4" s="93"/>
      <c r="D4" s="93" t="s">
        <v>174</v>
      </c>
      <c r="E4" s="93" t="s">
        <v>8</v>
      </c>
    </row>
    <row r="5" spans="2:5" s="6" customFormat="1" x14ac:dyDescent="0.3">
      <c r="B5" s="148">
        <f>SUM(B6:B11)</f>
        <v>0</v>
      </c>
      <c r="C5" s="93"/>
      <c r="D5" s="93" t="s">
        <v>175</v>
      </c>
      <c r="E5" s="93" t="s">
        <v>176</v>
      </c>
    </row>
    <row r="6" spans="2:5" s="6" customFormat="1" x14ac:dyDescent="0.3">
      <c r="B6" s="147"/>
      <c r="C6" s="93"/>
      <c r="D6" s="93"/>
      <c r="E6" s="93"/>
    </row>
    <row r="7" spans="2:5" s="6" customFormat="1" x14ac:dyDescent="0.3">
      <c r="B7" s="149"/>
      <c r="C7" s="150"/>
      <c r="D7" s="150"/>
      <c r="E7" s="150"/>
    </row>
    <row r="8" spans="2:5" s="6" customFormat="1" x14ac:dyDescent="0.3">
      <c r="B8" s="148">
        <f>SUM('2. Prognose RR'!81:81)</f>
        <v>0</v>
      </c>
      <c r="D8" s="6" t="s">
        <v>177</v>
      </c>
      <c r="E8" s="6" t="s">
        <v>178</v>
      </c>
    </row>
    <row r="9" spans="2:5" s="6" customFormat="1" x14ac:dyDescent="0.3">
      <c r="B9" s="148">
        <f>SUM('2. Prognose RR'!85:85)</f>
        <v>0</v>
      </c>
      <c r="D9" s="6" t="s">
        <v>177</v>
      </c>
      <c r="E9" s="6" t="s">
        <v>179</v>
      </c>
    </row>
    <row r="10" spans="2:5" s="6" customFormat="1" x14ac:dyDescent="0.3">
      <c r="B10" s="151"/>
    </row>
    <row r="11" spans="2:5" s="6" customFormat="1" x14ac:dyDescent="0.3">
      <c r="B11" s="151"/>
    </row>
    <row r="12" spans="2:5" s="6" customFormat="1" x14ac:dyDescent="0.3">
      <c r="B12" s="151"/>
    </row>
    <row r="13" spans="2:5" s="6" customFormat="1" x14ac:dyDescent="0.3">
      <c r="B13" s="151"/>
    </row>
    <row r="14" spans="2:5" s="6" customFormat="1" x14ac:dyDescent="0.3">
      <c r="B14" s="151"/>
    </row>
    <row r="15" spans="2:5" s="6" customFormat="1" x14ac:dyDescent="0.3">
      <c r="B15" s="151"/>
    </row>
    <row r="16" spans="2:5" s="6" customFormat="1" x14ac:dyDescent="0.3">
      <c r="B16" s="151"/>
    </row>
    <row r="17" spans="2:2" s="6" customFormat="1" x14ac:dyDescent="0.3">
      <c r="B17" s="151"/>
    </row>
  </sheetData>
  <conditionalFormatting sqref="B5">
    <cfRule type="cellIs" dxfId="16" priority="1" operator="notEqual">
      <formula>0</formula>
    </cfRule>
    <cfRule type="cellIs" dxfId="15" priority="2" operator="equal">
      <formula>0</formula>
    </cfRule>
  </conditionalFormatting>
  <conditionalFormatting sqref="B8:B9">
    <cfRule type="cellIs" dxfId="14" priority="11" operator="notEqual">
      <formula>0</formula>
    </cfRule>
    <cfRule type="cellIs" dxfId="13" priority="12" operator="equal">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00B98-0A13-42D8-B053-E2B33BCC815A}">
  <sheetPr>
    <pageSetUpPr fitToPage="1"/>
  </sheetPr>
  <dimension ref="B1:AO31"/>
  <sheetViews>
    <sheetView showGridLines="0" tabSelected="1" zoomScale="90" zoomScaleNormal="90" workbookViewId="0"/>
  </sheetViews>
  <sheetFormatPr defaultRowHeight="14.4" x14ac:dyDescent="0.3"/>
  <cols>
    <col min="1" max="1" width="2.21875" customWidth="1"/>
    <col min="2" max="2" width="2.77734375" customWidth="1"/>
    <col min="3" max="3" width="2.88671875" customWidth="1"/>
    <col min="8" max="8" width="8.88671875" customWidth="1"/>
    <col min="9" max="9" width="1.88671875" customWidth="1"/>
    <col min="14" max="14" width="8.88671875" customWidth="1"/>
    <col min="15" max="15" width="1.77734375" customWidth="1"/>
  </cols>
  <sheetData>
    <row r="1" spans="2:41" ht="7.8" customHeight="1" x14ac:dyDescent="0.3"/>
    <row r="2" spans="2:41" ht="15.6" x14ac:dyDescent="0.3">
      <c r="B2" s="22" t="s">
        <v>45</v>
      </c>
      <c r="C2" s="23"/>
      <c r="D2" s="23"/>
      <c r="E2" s="23"/>
      <c r="F2" s="23"/>
      <c r="G2" s="23"/>
      <c r="H2" s="23"/>
      <c r="I2" s="23"/>
      <c r="J2" s="23"/>
      <c r="K2" s="23"/>
      <c r="L2" s="23"/>
      <c r="M2" s="23"/>
      <c r="N2" s="23"/>
      <c r="O2" s="23"/>
      <c r="P2" s="23"/>
      <c r="Q2" s="23"/>
      <c r="R2" s="23"/>
      <c r="S2" s="23"/>
      <c r="T2" s="24" t="s">
        <v>11</v>
      </c>
      <c r="U2" s="25"/>
      <c r="V2" s="25"/>
      <c r="W2" s="25" t="s">
        <v>176</v>
      </c>
      <c r="X2" s="25"/>
      <c r="Y2" s="148">
        <f>ErrorChecks!$B$5</f>
        <v>0</v>
      </c>
      <c r="AB2" s="3" t="s">
        <v>118</v>
      </c>
      <c r="AF2" s="17" t="s">
        <v>48</v>
      </c>
      <c r="AG2" s="18"/>
      <c r="AH2" s="17"/>
      <c r="AI2" s="18"/>
      <c r="AJ2" s="18"/>
      <c r="AK2" s="18"/>
      <c r="AL2" s="18"/>
      <c r="AM2" s="18"/>
      <c r="AN2" s="18"/>
      <c r="AO2" s="18"/>
    </row>
    <row r="3" spans="2:41" x14ac:dyDescent="0.3">
      <c r="B3" s="27" t="s">
        <v>51</v>
      </c>
      <c r="AF3" s="17"/>
      <c r="AG3" s="18"/>
      <c r="AH3" s="17"/>
      <c r="AI3" s="18" t="str">
        <f>"R "&amp;RIGHT(RR!E5,2)</f>
        <v>R 24</v>
      </c>
      <c r="AJ3" s="18" t="str">
        <f>"R "&amp;VALUE(RIGHT(AI3,2))+1</f>
        <v>R 25</v>
      </c>
      <c r="AK3" s="18" t="str">
        <f>"P "&amp;VALUE(RIGHT(AJ3,2))+1</f>
        <v>P 26</v>
      </c>
      <c r="AL3" s="18" t="str">
        <f t="shared" ref="AL3:AO3" si="0">"P "&amp;VALUE(RIGHT(AK3,2))+1</f>
        <v>P 27</v>
      </c>
      <c r="AM3" s="18" t="str">
        <f t="shared" si="0"/>
        <v>P 28</v>
      </c>
      <c r="AN3" s="18" t="str">
        <f t="shared" si="0"/>
        <v>P 29</v>
      </c>
      <c r="AO3" s="18" t="str">
        <f t="shared" si="0"/>
        <v>P 30</v>
      </c>
    </row>
    <row r="4" spans="2:41" ht="14.4" customHeight="1" x14ac:dyDescent="0.3">
      <c r="B4" s="158" t="s">
        <v>46</v>
      </c>
    </row>
    <row r="5" spans="2:41" x14ac:dyDescent="0.3">
      <c r="B5" s="158"/>
      <c r="AF5" t="s">
        <v>79</v>
      </c>
      <c r="AI5" s="1">
        <f>Ratios!E9</f>
        <v>1200</v>
      </c>
      <c r="AJ5" s="1">
        <f>Ratios!F9</f>
        <v>1200</v>
      </c>
      <c r="AK5" s="1">
        <f>Ratios!G9</f>
        <v>1200</v>
      </c>
      <c r="AL5" s="1">
        <f>Ratios!H9</f>
        <v>1300</v>
      </c>
      <c r="AM5" s="1">
        <f>Ratios!I9</f>
        <v>1400</v>
      </c>
      <c r="AN5" s="1">
        <f>Ratios!J9</f>
        <v>1500</v>
      </c>
      <c r="AO5" s="1">
        <f>Ratios!K9</f>
        <v>1500</v>
      </c>
    </row>
    <row r="6" spans="2:41" x14ac:dyDescent="0.3">
      <c r="B6" s="158"/>
      <c r="AF6" t="s">
        <v>80</v>
      </c>
      <c r="AI6" s="118">
        <f>Ratios!E10</f>
        <v>416.66666666666669</v>
      </c>
      <c r="AJ6" s="118">
        <f>Ratios!F10</f>
        <v>437.5</v>
      </c>
      <c r="AK6" s="118">
        <f>Ratios!G10</f>
        <v>446.25</v>
      </c>
      <c r="AL6" s="118">
        <f>Ratios!H10</f>
        <v>455.17500000000001</v>
      </c>
      <c r="AM6" s="118">
        <f>Ratios!I10</f>
        <v>464.27850000000001</v>
      </c>
      <c r="AN6" s="118">
        <f>Ratios!J10</f>
        <v>473.56407000000002</v>
      </c>
      <c r="AO6" s="118">
        <f>Ratios!K10</f>
        <v>483.03535140000002</v>
      </c>
    </row>
    <row r="7" spans="2:41" x14ac:dyDescent="0.3">
      <c r="B7" s="158"/>
    </row>
    <row r="8" spans="2:41" x14ac:dyDescent="0.3">
      <c r="B8" s="158"/>
      <c r="AF8" t="s">
        <v>81</v>
      </c>
      <c r="AI8" s="118">
        <f>RR!E7</f>
        <v>500</v>
      </c>
      <c r="AJ8" s="118">
        <f>RR!F7</f>
        <v>525</v>
      </c>
      <c r="AK8" s="118">
        <f>RR!G7</f>
        <v>535.5</v>
      </c>
      <c r="AL8" s="118">
        <f>RR!H7</f>
        <v>591.72749999999996</v>
      </c>
      <c r="AM8" s="118">
        <f>RR!I7</f>
        <v>649.98990000000003</v>
      </c>
      <c r="AN8" s="118">
        <f>RR!J7</f>
        <v>710.34610499999997</v>
      </c>
      <c r="AO8" s="118">
        <f>RR!K7</f>
        <v>724.55302710000001</v>
      </c>
    </row>
    <row r="9" spans="2:41" x14ac:dyDescent="0.3">
      <c r="B9" s="158"/>
      <c r="AF9" t="s">
        <v>49</v>
      </c>
      <c r="AI9" s="118">
        <f>RR!E8</f>
        <v>50</v>
      </c>
      <c r="AJ9" s="118">
        <f>RR!F8</f>
        <v>55</v>
      </c>
      <c r="AK9" s="118">
        <f>RR!G8</f>
        <v>86.1</v>
      </c>
      <c r="AL9" s="118">
        <f>RR!H8</f>
        <v>57.222000000000001</v>
      </c>
      <c r="AM9" s="118">
        <f>RR!I8</f>
        <v>58.366440000000004</v>
      </c>
      <c r="AN9" s="118">
        <f>RR!J8</f>
        <v>59.533768800000004</v>
      </c>
      <c r="AO9" s="118">
        <f>RR!K8</f>
        <v>60.724444176000006</v>
      </c>
    </row>
    <row r="10" spans="2:41" x14ac:dyDescent="0.3">
      <c r="B10" s="158"/>
      <c r="AI10" s="1"/>
      <c r="AJ10" s="1"/>
      <c r="AK10" s="1"/>
      <c r="AL10" s="1"/>
      <c r="AM10" s="1"/>
      <c r="AN10" s="1"/>
      <c r="AO10" s="1"/>
    </row>
    <row r="11" spans="2:41" x14ac:dyDescent="0.3">
      <c r="B11" s="158"/>
      <c r="AF11" t="s">
        <v>3</v>
      </c>
      <c r="AI11" s="118">
        <f>-RR!E11</f>
        <v>300</v>
      </c>
      <c r="AJ11" s="118">
        <f>-RR!F11</f>
        <v>315</v>
      </c>
      <c r="AK11" s="118">
        <f>-RR!G11</f>
        <v>371.08</v>
      </c>
      <c r="AL11" s="118">
        <f>-RR!H11</f>
        <v>375.30160000000001</v>
      </c>
      <c r="AM11" s="118">
        <f>-RR!I11</f>
        <v>382.66763200000003</v>
      </c>
      <c r="AN11" s="118">
        <f>-RR!J11</f>
        <v>390.18098464000002</v>
      </c>
      <c r="AO11" s="118">
        <f>-RR!K11</f>
        <v>462.98537172160002</v>
      </c>
    </row>
    <row r="12" spans="2:41" x14ac:dyDescent="0.3">
      <c r="B12" s="158"/>
      <c r="AF12" t="s">
        <v>103</v>
      </c>
      <c r="AI12" s="20">
        <f>-Ratios!E15</f>
        <v>0.54545454545454541</v>
      </c>
      <c r="AJ12" s="20">
        <f>-Ratios!F15</f>
        <v>0.5431034482758621</v>
      </c>
      <c r="AK12" s="20">
        <f>-Ratios!G15</f>
        <v>0.59697554697554689</v>
      </c>
      <c r="AL12" s="20">
        <f>-Ratios!H15</f>
        <v>0.57832173381750052</v>
      </c>
      <c r="AM12" s="20">
        <f>-Ratios!I15</f>
        <v>0.54021911062446337</v>
      </c>
      <c r="AN12" s="20">
        <f>-Ratios!J15</f>
        <v>0.50680761754964587</v>
      </c>
      <c r="AO12" s="20">
        <f>-Ratios!K15</f>
        <v>0.58958188494735941</v>
      </c>
    </row>
    <row r="13" spans="2:41" x14ac:dyDescent="0.3">
      <c r="AF13" t="s">
        <v>47</v>
      </c>
      <c r="AI13" s="118">
        <f>RR!E26</f>
        <v>63</v>
      </c>
      <c r="AJ13" s="118">
        <f>RR!F26</f>
        <v>53</v>
      </c>
      <c r="AK13" s="118">
        <f>RR!G26</f>
        <v>41.058750000000117</v>
      </c>
      <c r="AL13" s="118">
        <f>RR!H26</f>
        <v>32.25114375000004</v>
      </c>
      <c r="AM13" s="118">
        <f>RR!I26</f>
        <v>36.756009750000004</v>
      </c>
      <c r="AN13" s="118">
        <f>RR!J26</f>
        <v>70.362569932499895</v>
      </c>
      <c r="AO13" s="118">
        <f>RR!K26</f>
        <v>37.839245789549921</v>
      </c>
    </row>
    <row r="14" spans="2:41" x14ac:dyDescent="0.3">
      <c r="B14" s="158" t="s">
        <v>47</v>
      </c>
      <c r="AF14" t="s">
        <v>24</v>
      </c>
      <c r="AI14" s="20">
        <f>Ratios!E21</f>
        <v>0.11454545454545455</v>
      </c>
      <c r="AJ14" s="20">
        <f>Ratios!F21</f>
        <v>9.1379310344827588E-2</v>
      </c>
      <c r="AK14" s="20">
        <f>Ratios!G21</f>
        <v>6.6053330115830297E-2</v>
      </c>
      <c r="AL14" s="20">
        <f>Ratios!H21</f>
        <v>4.9697462976703181E-2</v>
      </c>
      <c r="AM14" s="20">
        <f>Ratios!I21</f>
        <v>5.1889151934462821E-2</v>
      </c>
      <c r="AN14" s="20">
        <f>Ratios!J21</f>
        <v>9.1394219185393005E-2</v>
      </c>
      <c r="AO14" s="20">
        <f>Ratios!K21</f>
        <v>4.8185828797641175E-2</v>
      </c>
    </row>
    <row r="15" spans="2:41" x14ac:dyDescent="0.3">
      <c r="B15" s="158"/>
      <c r="AI15" s="21"/>
      <c r="AJ15" s="21"/>
      <c r="AK15" s="21"/>
      <c r="AL15" s="21"/>
      <c r="AM15" s="21"/>
      <c r="AN15" s="21"/>
      <c r="AO15" s="21"/>
    </row>
    <row r="16" spans="2:41" x14ac:dyDescent="0.3">
      <c r="B16" s="158"/>
      <c r="AF16" t="s">
        <v>50</v>
      </c>
      <c r="AI16" s="26">
        <f>Ratios!E24</f>
        <v>17</v>
      </c>
      <c r="AJ16" s="26">
        <f>Ratios!F24</f>
        <v>14.833333333333334</v>
      </c>
      <c r="AK16" s="26">
        <f>Ratios!G24</f>
        <v>7.074500000000012</v>
      </c>
      <c r="AL16" s="26">
        <f>Ratios!H24</f>
        <v>1.1875476562500005</v>
      </c>
      <c r="AM16" s="26">
        <f>Ratios!I24</f>
        <v>2.6252504062500002</v>
      </c>
      <c r="AN16" s="26">
        <f>Ratios!J24</f>
        <v>3.9338412093939352</v>
      </c>
      <c r="AO16" s="26">
        <f>Ratios!K24</f>
        <v>2.9797158414592566</v>
      </c>
    </row>
    <row r="17" spans="2:41" x14ac:dyDescent="0.3">
      <c r="B17" s="158"/>
      <c r="AI17" s="20"/>
      <c r="AJ17" s="20"/>
      <c r="AK17" s="20"/>
      <c r="AL17" s="20"/>
      <c r="AM17" s="20"/>
      <c r="AN17" s="20"/>
      <c r="AO17" s="20"/>
    </row>
    <row r="18" spans="2:41" x14ac:dyDescent="0.3">
      <c r="B18" s="158"/>
      <c r="AI18" s="20"/>
      <c r="AJ18" s="20"/>
      <c r="AK18" s="20"/>
      <c r="AL18" s="20"/>
      <c r="AM18" s="20"/>
      <c r="AN18" s="20"/>
      <c r="AO18" s="20"/>
    </row>
    <row r="19" spans="2:41" x14ac:dyDescent="0.3">
      <c r="B19" s="158"/>
    </row>
    <row r="20" spans="2:41" x14ac:dyDescent="0.3">
      <c r="B20" s="158"/>
      <c r="AI20" s="118"/>
      <c r="AJ20" s="118"/>
      <c r="AK20" s="118"/>
      <c r="AL20" s="118"/>
      <c r="AM20" s="118"/>
      <c r="AN20" s="118"/>
      <c r="AO20" s="118"/>
    </row>
    <row r="21" spans="2:41" x14ac:dyDescent="0.3">
      <c r="B21" s="158"/>
      <c r="AI21" s="118"/>
      <c r="AJ21" s="118"/>
      <c r="AK21" s="118"/>
      <c r="AL21" s="118"/>
      <c r="AM21" s="118"/>
      <c r="AN21" s="118"/>
      <c r="AO21" s="118"/>
    </row>
    <row r="22" spans="2:41" x14ac:dyDescent="0.3">
      <c r="B22" s="158"/>
      <c r="AI22" s="26"/>
      <c r="AJ22" s="26"/>
      <c r="AK22" s="26"/>
      <c r="AL22" s="26"/>
      <c r="AM22" s="26"/>
      <c r="AN22" s="26"/>
      <c r="AO22" s="26"/>
    </row>
    <row r="30" spans="2:41" x14ac:dyDescent="0.3">
      <c r="Y30" s="77"/>
    </row>
    <row r="31" spans="2:41" x14ac:dyDescent="0.3">
      <c r="Y31" s="77"/>
    </row>
  </sheetData>
  <mergeCells count="2">
    <mergeCell ref="B4:B12"/>
    <mergeCell ref="B14:B22"/>
  </mergeCells>
  <conditionalFormatting sqref="Y2">
    <cfRule type="cellIs" dxfId="12" priority="1" operator="notEqual">
      <formula>0</formula>
    </cfRule>
    <cfRule type="cellIs" dxfId="11" priority="2" operator="equal">
      <formula>0</formula>
    </cfRule>
  </conditionalFormatting>
  <pageMargins left="0.7" right="0.7" top="0.75" bottom="0.75" header="0.3" footer="0.3"/>
  <pageSetup paperSize="9" scale="91"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34"/>
  <sheetViews>
    <sheetView showGridLines="0" zoomScale="90" zoomScaleNormal="90" workbookViewId="0">
      <pane ySplit="5" topLeftCell="A6" activePane="bottomLeft" state="frozen"/>
      <selection activeCell="A6" sqref="A6"/>
      <selection pane="bottomLeft" activeCell="A6" sqref="A6"/>
    </sheetView>
  </sheetViews>
  <sheetFormatPr defaultRowHeight="14.4" x14ac:dyDescent="0.3"/>
  <cols>
    <col min="1" max="1" width="2.21875" customWidth="1"/>
    <col min="2" max="2" width="25.44140625" customWidth="1"/>
    <col min="3" max="4" width="3.5546875" customWidth="1"/>
    <col min="12" max="15" width="9.109375" style="4"/>
  </cols>
  <sheetData>
    <row r="1" spans="2:15" x14ac:dyDescent="0.3">
      <c r="K1" s="32" t="s">
        <v>11</v>
      </c>
    </row>
    <row r="2" spans="2:15" ht="15.6" x14ac:dyDescent="0.3">
      <c r="B2" s="31" t="s">
        <v>14</v>
      </c>
      <c r="C2" s="38"/>
      <c r="D2" s="38"/>
      <c r="E2" s="39"/>
      <c r="F2" s="15"/>
      <c r="G2" s="15"/>
      <c r="H2" s="15"/>
      <c r="I2" s="15"/>
      <c r="J2" s="15"/>
      <c r="M2" s="25" t="s">
        <v>176</v>
      </c>
      <c r="N2" s="25"/>
      <c r="O2" s="148">
        <f>ErrorChecks!$B$5</f>
        <v>0</v>
      </c>
    </row>
    <row r="3" spans="2:15" x14ac:dyDescent="0.3">
      <c r="B3" s="15"/>
      <c r="C3" s="15"/>
      <c r="D3" s="15"/>
      <c r="E3" s="13"/>
      <c r="F3" s="13"/>
      <c r="G3" s="13"/>
      <c r="H3" s="13"/>
      <c r="I3" s="13"/>
      <c r="J3" s="13"/>
      <c r="K3" s="40"/>
    </row>
    <row r="4" spans="2:15" x14ac:dyDescent="0.3">
      <c r="B4" s="10" t="s">
        <v>9</v>
      </c>
      <c r="C4" s="3"/>
      <c r="D4" s="3"/>
    </row>
    <row r="5" spans="2:15" s="45" customFormat="1" ht="13.8" x14ac:dyDescent="0.3">
      <c r="B5" s="109"/>
      <c r="C5" s="110"/>
      <c r="D5" s="109"/>
      <c r="E5" s="110" t="str">
        <f>'1. Realisatie RR'!E9</f>
        <v>R 2024</v>
      </c>
      <c r="F5" s="110" t="str">
        <f>'1. Realisatie RR'!F9</f>
        <v>R 2025</v>
      </c>
      <c r="G5" s="110" t="str">
        <f>'1. Realisatie RR'!G9</f>
        <v>P 2026</v>
      </c>
      <c r="H5" s="110" t="str">
        <f>'1. Realisatie RR'!H9</f>
        <v>P 2027</v>
      </c>
      <c r="I5" s="110" t="str">
        <f>'1. Realisatie RR'!I9</f>
        <v>P 2028</v>
      </c>
      <c r="J5" s="110" t="str">
        <f>'1. Realisatie RR'!J9</f>
        <v>P 2029</v>
      </c>
      <c r="K5" s="159" t="str">
        <f>'1. Realisatie RR'!K9</f>
        <v>P 2030</v>
      </c>
      <c r="L5" s="55"/>
      <c r="M5" s="55"/>
      <c r="N5" s="55"/>
      <c r="O5" s="55"/>
    </row>
    <row r="6" spans="2:15" s="43" customFormat="1" ht="13.8" x14ac:dyDescent="0.3">
      <c r="E6" s="113"/>
      <c r="F6" s="113"/>
      <c r="G6" s="113"/>
      <c r="H6" s="113"/>
      <c r="I6" s="113"/>
      <c r="J6" s="113"/>
      <c r="K6" s="113"/>
    </row>
    <row r="7" spans="2:15" s="43" customFormat="1" ht="13.8" x14ac:dyDescent="0.3">
      <c r="B7" s="43" t="s">
        <v>98</v>
      </c>
      <c r="E7" s="119">
        <f>'2. Prognose RR'!E11</f>
        <v>500</v>
      </c>
      <c r="F7" s="119">
        <f>'2. Prognose RR'!F11</f>
        <v>525</v>
      </c>
      <c r="G7" s="119">
        <f>'2. Prognose RR'!G11</f>
        <v>535.5</v>
      </c>
      <c r="H7" s="119">
        <f>'2. Prognose RR'!H11</f>
        <v>591.72749999999996</v>
      </c>
      <c r="I7" s="119">
        <f>'2. Prognose RR'!I11</f>
        <v>649.98990000000003</v>
      </c>
      <c r="J7" s="119">
        <f>'2. Prognose RR'!J11</f>
        <v>710.34610499999997</v>
      </c>
      <c r="K7" s="119">
        <f>'2. Prognose RR'!K11</f>
        <v>724.55302710000001</v>
      </c>
      <c r="L7" s="52"/>
      <c r="M7" s="52"/>
      <c r="N7" s="52"/>
      <c r="O7" s="52"/>
    </row>
    <row r="8" spans="2:15" s="43" customFormat="1" ht="13.8" x14ac:dyDescent="0.3">
      <c r="B8" s="43" t="s">
        <v>0</v>
      </c>
      <c r="E8" s="119">
        <f>'2. Prognose RR'!E17</f>
        <v>50</v>
      </c>
      <c r="F8" s="119">
        <f>'2. Prognose RR'!F17</f>
        <v>55</v>
      </c>
      <c r="G8" s="119">
        <f>'2. Prognose RR'!G17</f>
        <v>86.1</v>
      </c>
      <c r="H8" s="119">
        <f>'2. Prognose RR'!H17</f>
        <v>57.222000000000001</v>
      </c>
      <c r="I8" s="119">
        <f>'2. Prognose RR'!I17</f>
        <v>58.366440000000004</v>
      </c>
      <c r="J8" s="119">
        <f>'2. Prognose RR'!J17</f>
        <v>59.533768800000004</v>
      </c>
      <c r="K8" s="119">
        <f>'2. Prognose RR'!K17</f>
        <v>60.724444176000006</v>
      </c>
      <c r="L8" s="52"/>
      <c r="M8" s="52"/>
      <c r="N8" s="52"/>
      <c r="O8" s="52"/>
    </row>
    <row r="9" spans="2:15" s="45" customFormat="1" ht="13.8" x14ac:dyDescent="0.3">
      <c r="B9" s="45" t="s">
        <v>1</v>
      </c>
      <c r="E9" s="120">
        <f t="shared" ref="E9:K9" si="0">SUM(E7:E8)</f>
        <v>550</v>
      </c>
      <c r="F9" s="120">
        <f t="shared" si="0"/>
        <v>580</v>
      </c>
      <c r="G9" s="120">
        <f t="shared" si="0"/>
        <v>621.6</v>
      </c>
      <c r="H9" s="120">
        <f t="shared" si="0"/>
        <v>648.94949999999994</v>
      </c>
      <c r="I9" s="120">
        <f t="shared" si="0"/>
        <v>708.35634000000005</v>
      </c>
      <c r="J9" s="120">
        <f t="shared" si="0"/>
        <v>769.87987379999993</v>
      </c>
      <c r="K9" s="120">
        <f t="shared" si="0"/>
        <v>785.27747127600003</v>
      </c>
      <c r="L9" s="53"/>
      <c r="M9" s="53"/>
      <c r="N9" s="53"/>
      <c r="O9" s="53"/>
    </row>
    <row r="10" spans="2:15" s="43" customFormat="1" ht="8.4" customHeight="1" x14ac:dyDescent="0.3">
      <c r="E10" s="119"/>
      <c r="F10" s="119"/>
      <c r="G10" s="119"/>
      <c r="H10" s="119"/>
      <c r="I10" s="119"/>
      <c r="J10" s="119"/>
      <c r="K10" s="119"/>
      <c r="L10" s="52"/>
      <c r="M10" s="52"/>
      <c r="N10" s="52"/>
      <c r="O10" s="52"/>
    </row>
    <row r="11" spans="2:15" s="43" customFormat="1" ht="13.8" x14ac:dyDescent="0.3">
      <c r="B11" s="43" t="s">
        <v>3</v>
      </c>
      <c r="E11" s="119">
        <f>'2. Prognose RR'!E30</f>
        <v>-300</v>
      </c>
      <c r="F11" s="119">
        <f>'2. Prognose RR'!F30</f>
        <v>-315</v>
      </c>
      <c r="G11" s="119">
        <f>'2. Prognose RR'!G30</f>
        <v>-371.08</v>
      </c>
      <c r="H11" s="119">
        <f>'2. Prognose RR'!H30</f>
        <v>-375.30160000000001</v>
      </c>
      <c r="I11" s="119">
        <f>'2. Prognose RR'!I30</f>
        <v>-382.66763200000003</v>
      </c>
      <c r="J11" s="119">
        <f>'2. Prognose RR'!J30</f>
        <v>-390.18098464000002</v>
      </c>
      <c r="K11" s="119">
        <f>'2. Prognose RR'!K30</f>
        <v>-462.98537172160002</v>
      </c>
      <c r="L11" s="52"/>
      <c r="M11" s="52"/>
      <c r="N11" s="52"/>
      <c r="O11" s="52"/>
    </row>
    <row r="12" spans="2:15" s="43" customFormat="1" ht="13.8" x14ac:dyDescent="0.3">
      <c r="B12" s="43" t="s">
        <v>4</v>
      </c>
      <c r="E12" s="119">
        <f>'2. Prognose RR'!E34</f>
        <v>-10</v>
      </c>
      <c r="F12" s="119">
        <f>'2. Prognose RR'!F34</f>
        <v>-11</v>
      </c>
      <c r="G12" s="119">
        <f>'2. Prognose RR'!G34</f>
        <v>-10</v>
      </c>
      <c r="H12" s="119">
        <f>'2. Prognose RR'!H34</f>
        <v>-7</v>
      </c>
      <c r="I12" s="119">
        <f>'2. Prognose RR'!I34</f>
        <v>-7</v>
      </c>
      <c r="J12" s="119">
        <f>'2. Prognose RR'!J34</f>
        <v>-7</v>
      </c>
      <c r="K12" s="119">
        <f>'2. Prognose RR'!K34</f>
        <v>-7</v>
      </c>
      <c r="L12" s="52"/>
      <c r="M12" s="52"/>
      <c r="N12" s="52"/>
      <c r="O12" s="52"/>
    </row>
    <row r="13" spans="2:15" s="43" customFormat="1" ht="13.8" x14ac:dyDescent="0.3">
      <c r="B13" s="43" t="s">
        <v>156</v>
      </c>
      <c r="E13" s="119">
        <f>'2. Prognose RR'!E39</f>
        <v>-140</v>
      </c>
      <c r="F13" s="119">
        <f>'2. Prognose RR'!F39</f>
        <v>-150</v>
      </c>
      <c r="G13" s="119">
        <f>'2. Prognose RR'!G39</f>
        <v>-153</v>
      </c>
      <c r="H13" s="119">
        <f>'2. Prognose RR'!H39</f>
        <v>-181.06</v>
      </c>
      <c r="I13" s="119">
        <f>'2. Prognose RR'!I39</f>
        <v>-184.18119999999999</v>
      </c>
      <c r="J13" s="119">
        <f>'2. Prognose RR'!J39</f>
        <v>-188.364824</v>
      </c>
      <c r="K13" s="119">
        <f>'2. Prognose RR'!K39</f>
        <v>-185.61212047999999</v>
      </c>
      <c r="L13" s="52"/>
      <c r="M13" s="52"/>
      <c r="N13" s="52"/>
      <c r="O13" s="52"/>
    </row>
    <row r="14" spans="2:15" s="43" customFormat="1" ht="13.8" x14ac:dyDescent="0.3">
      <c r="B14" s="43" t="s">
        <v>158</v>
      </c>
      <c r="E14" s="119">
        <f>'2. Prognose RR'!E44</f>
        <v>-25</v>
      </c>
      <c r="F14" s="119">
        <f>'2. Prognose RR'!F44</f>
        <v>-26</v>
      </c>
      <c r="G14" s="119">
        <f>'2. Prognose RR'!G44</f>
        <v>-26.775000000000002</v>
      </c>
      <c r="H14" s="119">
        <f>'2. Prognose RR'!H44</f>
        <v>-54.586375000000004</v>
      </c>
      <c r="I14" s="119">
        <f>'2. Prognose RR'!I44</f>
        <v>-57.499495000000003</v>
      </c>
      <c r="J14" s="119">
        <f>'2. Prognose RR'!J44</f>
        <v>-61.51730525</v>
      </c>
      <c r="K14" s="119">
        <f>'2. Prognose RR'!K44</f>
        <v>-56.227651354999999</v>
      </c>
      <c r="L14" s="52"/>
      <c r="M14" s="52"/>
      <c r="N14" s="52"/>
      <c r="O14" s="52"/>
    </row>
    <row r="15" spans="2:15" s="45" customFormat="1" ht="13.8" x14ac:dyDescent="0.3">
      <c r="B15" s="45" t="s">
        <v>157</v>
      </c>
      <c r="E15" s="120">
        <f>SUM(E11:E14)</f>
        <v>-475</v>
      </c>
      <c r="F15" s="120">
        <f t="shared" ref="F15:K15" si="1">SUM(F11:F14)</f>
        <v>-502</v>
      </c>
      <c r="G15" s="120">
        <f t="shared" si="1"/>
        <v>-560.8549999999999</v>
      </c>
      <c r="H15" s="120">
        <f t="shared" si="1"/>
        <v>-617.94797499999993</v>
      </c>
      <c r="I15" s="120">
        <f t="shared" si="1"/>
        <v>-631.34832700000004</v>
      </c>
      <c r="J15" s="120">
        <f t="shared" si="1"/>
        <v>-647.06311389000007</v>
      </c>
      <c r="K15" s="120">
        <f t="shared" si="1"/>
        <v>-711.8251435566001</v>
      </c>
      <c r="L15" s="53"/>
      <c r="M15" s="53"/>
      <c r="N15" s="53"/>
      <c r="O15" s="53"/>
    </row>
    <row r="16" spans="2:15" s="43" customFormat="1" ht="7.8" customHeight="1" x14ac:dyDescent="0.3">
      <c r="E16" s="119"/>
      <c r="F16" s="119"/>
      <c r="G16" s="119"/>
      <c r="H16" s="119"/>
      <c r="I16" s="119"/>
      <c r="J16" s="119"/>
      <c r="K16" s="119"/>
      <c r="L16" s="52"/>
      <c r="M16" s="52"/>
      <c r="N16" s="52"/>
      <c r="O16" s="52"/>
    </row>
    <row r="17" spans="2:15" s="45" customFormat="1" ht="13.8" x14ac:dyDescent="0.3">
      <c r="B17" s="45" t="s">
        <v>160</v>
      </c>
      <c r="E17" s="120">
        <f>E9+E15</f>
        <v>75</v>
      </c>
      <c r="F17" s="120">
        <f t="shared" ref="F17:K17" si="2">F9+F15</f>
        <v>78</v>
      </c>
      <c r="G17" s="120">
        <f t="shared" si="2"/>
        <v>60.745000000000118</v>
      </c>
      <c r="H17" s="120">
        <f t="shared" si="2"/>
        <v>31.001525000000015</v>
      </c>
      <c r="I17" s="120">
        <f t="shared" si="2"/>
        <v>77.008013000000005</v>
      </c>
      <c r="J17" s="120">
        <f t="shared" si="2"/>
        <v>122.81675990999986</v>
      </c>
      <c r="K17" s="120">
        <f t="shared" si="2"/>
        <v>73.452327719399932</v>
      </c>
      <c r="L17" s="53"/>
      <c r="M17" s="53"/>
      <c r="N17" s="53"/>
      <c r="O17" s="53"/>
    </row>
    <row r="18" spans="2:15" s="43" customFormat="1" ht="8.4" customHeight="1" x14ac:dyDescent="0.3">
      <c r="E18" s="119"/>
      <c r="F18" s="119"/>
      <c r="G18" s="119"/>
      <c r="H18" s="119"/>
      <c r="I18" s="119"/>
      <c r="J18" s="119"/>
      <c r="K18" s="119"/>
      <c r="L18" s="52"/>
      <c r="M18" s="52"/>
      <c r="N18" s="52"/>
      <c r="O18" s="52"/>
    </row>
    <row r="19" spans="2:15" s="43" customFormat="1" ht="14.4" customHeight="1" x14ac:dyDescent="0.3">
      <c r="B19" s="43" t="s">
        <v>61</v>
      </c>
      <c r="E19" s="119">
        <f>'2. Prognose RR'!E53</f>
        <v>0</v>
      </c>
      <c r="F19" s="119">
        <f>'2. Prognose RR'!F53</f>
        <v>-10</v>
      </c>
      <c r="G19" s="119">
        <f>'2. Prognose RR'!G53</f>
        <v>0</v>
      </c>
      <c r="H19" s="119">
        <f>'2. Prognose RR'!H53</f>
        <v>40</v>
      </c>
      <c r="I19" s="119">
        <f>'2. Prognose RR'!I53</f>
        <v>0</v>
      </c>
      <c r="J19" s="119">
        <f>'2. Prognose RR'!J53</f>
        <v>0</v>
      </c>
      <c r="K19" s="119">
        <f>'2. Prognose RR'!K53</f>
        <v>0</v>
      </c>
      <c r="L19" s="52"/>
      <c r="M19" s="52"/>
      <c r="N19" s="52"/>
      <c r="O19" s="52"/>
    </row>
    <row r="20" spans="2:15" s="43" customFormat="1" ht="13.8" x14ac:dyDescent="0.3">
      <c r="B20" s="43" t="s">
        <v>17</v>
      </c>
      <c r="E20" s="119">
        <f>'2. Prognose RR'!E55</f>
        <v>0</v>
      </c>
      <c r="F20" s="119">
        <f>'2. Prognose RR'!F55</f>
        <v>14</v>
      </c>
      <c r="G20" s="119">
        <f>'2. Prognose RR'!G55</f>
        <v>2</v>
      </c>
      <c r="H20" s="119">
        <f>'2. Prognose RR'!H55</f>
        <v>2</v>
      </c>
      <c r="I20" s="119">
        <f>'2. Prognose RR'!I55</f>
        <v>2</v>
      </c>
      <c r="J20" s="119">
        <f>'2. Prognose RR'!J55</f>
        <v>2</v>
      </c>
      <c r="K20" s="119">
        <f>'2. Prognose RR'!K55</f>
        <v>2</v>
      </c>
      <c r="L20" s="52"/>
      <c r="M20" s="52"/>
      <c r="N20" s="52"/>
      <c r="O20" s="52"/>
    </row>
    <row r="21" spans="2:15" s="43" customFormat="1" ht="13.8" x14ac:dyDescent="0.3">
      <c r="B21" s="43" t="s">
        <v>18</v>
      </c>
      <c r="E21" s="119">
        <f>'2. Prognose RR'!E57</f>
        <v>1</v>
      </c>
      <c r="F21" s="119">
        <f>'2. Prognose RR'!F57</f>
        <v>2</v>
      </c>
      <c r="G21" s="119">
        <f>'2. Prognose RR'!G57</f>
        <v>2</v>
      </c>
      <c r="H21" s="119">
        <f>'2. Prognose RR'!H57</f>
        <v>2</v>
      </c>
      <c r="I21" s="119">
        <f>'2. Prognose RR'!I57</f>
        <v>2</v>
      </c>
      <c r="J21" s="119">
        <f>'2. Prognose RR'!J57</f>
        <v>2</v>
      </c>
      <c r="K21" s="119">
        <f>'2. Prognose RR'!K57</f>
        <v>2</v>
      </c>
      <c r="L21" s="52"/>
      <c r="M21" s="52"/>
      <c r="N21" s="52"/>
      <c r="O21" s="52"/>
    </row>
    <row r="22" spans="2:15" s="43" customFormat="1" ht="13.8" x14ac:dyDescent="0.3">
      <c r="B22" s="43" t="s">
        <v>19</v>
      </c>
      <c r="E22" s="119">
        <f>'2. Prognose RR'!E61</f>
        <v>-5</v>
      </c>
      <c r="F22" s="119">
        <f>'2. Prognose RR'!F61</f>
        <v>-6</v>
      </c>
      <c r="G22" s="119">
        <f>'2. Prognose RR'!G61</f>
        <v>-10</v>
      </c>
      <c r="H22" s="119">
        <f>'2. Prognose RR'!H61</f>
        <v>-32</v>
      </c>
      <c r="I22" s="119">
        <f>'2. Prognose RR'!I61</f>
        <v>-32</v>
      </c>
      <c r="J22" s="119">
        <f>'2. Prognose RR'!J61</f>
        <v>-33</v>
      </c>
      <c r="K22" s="119">
        <f>'2. Prognose RR'!K61</f>
        <v>-27</v>
      </c>
      <c r="L22" s="52"/>
      <c r="M22" s="52"/>
      <c r="N22" s="52"/>
      <c r="O22" s="52"/>
    </row>
    <row r="23" spans="2:15" s="45" customFormat="1" ht="13.8" x14ac:dyDescent="0.3">
      <c r="B23" s="45" t="s">
        <v>5</v>
      </c>
      <c r="E23" s="120">
        <f t="shared" ref="E23:K23" si="3">SUM(E17:E22)</f>
        <v>71</v>
      </c>
      <c r="F23" s="120">
        <f t="shared" si="3"/>
        <v>78</v>
      </c>
      <c r="G23" s="120">
        <f t="shared" si="3"/>
        <v>54.745000000000118</v>
      </c>
      <c r="H23" s="120">
        <f t="shared" si="3"/>
        <v>43.001525000000015</v>
      </c>
      <c r="I23" s="120">
        <f t="shared" si="3"/>
        <v>49.008013000000005</v>
      </c>
      <c r="J23" s="120">
        <f t="shared" si="3"/>
        <v>93.81675990999986</v>
      </c>
      <c r="K23" s="120">
        <f t="shared" si="3"/>
        <v>50.452327719399932</v>
      </c>
      <c r="L23" s="53"/>
      <c r="M23" s="53"/>
      <c r="N23" s="53"/>
      <c r="O23" s="53"/>
    </row>
    <row r="24" spans="2:15" s="45" customFormat="1" ht="8.4" customHeight="1" x14ac:dyDescent="0.3">
      <c r="E24" s="121"/>
      <c r="F24" s="121"/>
      <c r="G24" s="121"/>
      <c r="H24" s="121"/>
      <c r="I24" s="121"/>
      <c r="J24" s="121"/>
      <c r="K24" s="121"/>
      <c r="L24" s="53"/>
      <c r="M24" s="53"/>
      <c r="N24" s="53"/>
      <c r="O24" s="53"/>
    </row>
    <row r="25" spans="2:15" s="43" customFormat="1" ht="13.8" x14ac:dyDescent="0.3">
      <c r="B25" s="43" t="s">
        <v>6</v>
      </c>
      <c r="E25" s="119">
        <f>'2. Prognose RR'!E67</f>
        <v>-8</v>
      </c>
      <c r="F25" s="119">
        <f>'2. Prognose RR'!F67</f>
        <v>-25</v>
      </c>
      <c r="G25" s="119">
        <f>'2. Prognose RR'!G67</f>
        <v>-13.686250000000001</v>
      </c>
      <c r="H25" s="119">
        <f>'2. Prognose RR'!H67</f>
        <v>-10.750381249999975</v>
      </c>
      <c r="I25" s="119">
        <f>'2. Prognose RR'!I67</f>
        <v>-12.252003250000001</v>
      </c>
      <c r="J25" s="119">
        <f>'2. Prognose RR'!J67</f>
        <v>-23.454189977499965</v>
      </c>
      <c r="K25" s="119">
        <f>'2. Prognose RR'!K67</f>
        <v>-12.613081929850011</v>
      </c>
      <c r="L25" s="52"/>
      <c r="M25" s="52"/>
      <c r="N25" s="52"/>
      <c r="O25" s="52"/>
    </row>
    <row r="26" spans="2:15" s="45" customFormat="1" thickBot="1" x14ac:dyDescent="0.35">
      <c r="B26" s="45" t="s">
        <v>63</v>
      </c>
      <c r="E26" s="122">
        <f t="shared" ref="E26:K26" si="4">SUM(E23:E25)</f>
        <v>63</v>
      </c>
      <c r="F26" s="122">
        <f t="shared" si="4"/>
        <v>53</v>
      </c>
      <c r="G26" s="122">
        <f t="shared" si="4"/>
        <v>41.058750000000117</v>
      </c>
      <c r="H26" s="122">
        <f t="shared" si="4"/>
        <v>32.25114375000004</v>
      </c>
      <c r="I26" s="122">
        <f t="shared" si="4"/>
        <v>36.756009750000004</v>
      </c>
      <c r="J26" s="122">
        <f t="shared" si="4"/>
        <v>70.362569932499895</v>
      </c>
      <c r="K26" s="122">
        <f t="shared" si="4"/>
        <v>37.839245789549921</v>
      </c>
      <c r="L26" s="53"/>
      <c r="M26" s="53"/>
      <c r="N26" s="53"/>
      <c r="O26" s="53"/>
    </row>
    <row r="27" spans="2:15" s="43" customFormat="1" thickTop="1" x14ac:dyDescent="0.3">
      <c r="E27" s="119"/>
      <c r="F27" s="119"/>
      <c r="G27" s="119"/>
      <c r="H27" s="119"/>
      <c r="I27" s="119"/>
      <c r="J27" s="119"/>
      <c r="K27" s="119"/>
      <c r="L27" s="52"/>
      <c r="M27" s="52"/>
      <c r="N27" s="52"/>
      <c r="O27" s="52"/>
    </row>
    <row r="28" spans="2:15" s="43" customFormat="1" ht="13.8" x14ac:dyDescent="0.3">
      <c r="B28" s="43" t="s">
        <v>20</v>
      </c>
      <c r="E28" s="119">
        <f>-'2. Prognose RR'!E72</f>
        <v>10</v>
      </c>
      <c r="F28" s="119">
        <f>-'2. Prognose RR'!F72</f>
        <v>11</v>
      </c>
      <c r="G28" s="119">
        <f>-'2. Prognose RR'!G72</f>
        <v>10</v>
      </c>
      <c r="H28" s="119">
        <f>-'2. Prognose RR'!H72</f>
        <v>10</v>
      </c>
      <c r="I28" s="119">
        <f>-'2. Prognose RR'!I72</f>
        <v>15</v>
      </c>
      <c r="J28" s="119">
        <f>-'2. Prognose RR'!J72</f>
        <v>20</v>
      </c>
      <c r="K28" s="119">
        <f>-'2. Prognose RR'!K72</f>
        <v>20</v>
      </c>
      <c r="L28" s="52"/>
      <c r="M28" s="52"/>
      <c r="N28" s="52"/>
      <c r="O28" s="52"/>
    </row>
    <row r="29" spans="2:15" s="43" customFormat="1" ht="13.8" x14ac:dyDescent="0.3">
      <c r="B29" s="43" t="s">
        <v>12</v>
      </c>
      <c r="E29" s="119">
        <f>E17-E12</f>
        <v>85</v>
      </c>
      <c r="F29" s="119">
        <f t="shared" ref="F29:K29" si="5">F17-F12</f>
        <v>89</v>
      </c>
      <c r="G29" s="119">
        <f t="shared" si="5"/>
        <v>70.745000000000118</v>
      </c>
      <c r="H29" s="119">
        <f t="shared" si="5"/>
        <v>38.001525000000015</v>
      </c>
      <c r="I29" s="119">
        <f t="shared" si="5"/>
        <v>84.008013000000005</v>
      </c>
      <c r="J29" s="119">
        <f t="shared" si="5"/>
        <v>129.81675990999986</v>
      </c>
      <c r="K29" s="119">
        <f t="shared" si="5"/>
        <v>80.452327719399932</v>
      </c>
      <c r="L29" s="52"/>
      <c r="M29" s="52"/>
      <c r="N29" s="52"/>
      <c r="O29" s="52"/>
    </row>
    <row r="30" spans="2:15" s="43" customFormat="1" ht="13.8" x14ac:dyDescent="0.3">
      <c r="B30" s="43" t="s">
        <v>16</v>
      </c>
      <c r="E30" s="119">
        <f>'2. Prognose RR'!E24</f>
        <v>5</v>
      </c>
      <c r="F30" s="119">
        <f>'2. Prognose RR'!F24</f>
        <v>5</v>
      </c>
      <c r="G30" s="119">
        <f>'2. Prognose RR'!G24</f>
        <v>6</v>
      </c>
      <c r="H30" s="119">
        <f>'2. Prognose RR'!H24</f>
        <v>6</v>
      </c>
      <c r="I30" s="119">
        <f>'2. Prognose RR'!I24</f>
        <v>6</v>
      </c>
      <c r="J30" s="119">
        <f>'2. Prognose RR'!J24</f>
        <v>6</v>
      </c>
      <c r="K30" s="119">
        <f>'2. Prognose RR'!K24</f>
        <v>7</v>
      </c>
      <c r="L30" s="52"/>
      <c r="M30" s="52"/>
      <c r="N30" s="52"/>
      <c r="O30" s="52"/>
    </row>
    <row r="31" spans="2:15" s="43" customFormat="1" ht="13.8" x14ac:dyDescent="0.3">
      <c r="E31" s="119"/>
      <c r="F31" s="119"/>
      <c r="G31" s="119"/>
      <c r="H31" s="119"/>
      <c r="I31" s="119"/>
      <c r="J31" s="119"/>
      <c r="K31" s="119"/>
      <c r="L31" s="52"/>
      <c r="M31" s="52"/>
      <c r="N31" s="52"/>
      <c r="O31" s="52"/>
    </row>
    <row r="32" spans="2:15" s="43" customFormat="1" ht="13.8" x14ac:dyDescent="0.3">
      <c r="B32" s="43" t="s">
        <v>22</v>
      </c>
      <c r="E32" s="48">
        <f>E29/E9</f>
        <v>0.15454545454545454</v>
      </c>
      <c r="F32" s="48">
        <f t="shared" ref="F32:K32" si="6">F29/F9</f>
        <v>0.15344827586206897</v>
      </c>
      <c r="G32" s="48">
        <f t="shared" si="6"/>
        <v>0.11381113256113275</v>
      </c>
      <c r="H32" s="48">
        <f t="shared" si="6"/>
        <v>5.8558524199494748E-2</v>
      </c>
      <c r="I32" s="48">
        <f t="shared" si="6"/>
        <v>0.11859569577650707</v>
      </c>
      <c r="J32" s="48">
        <f t="shared" si="6"/>
        <v>0.16861950068813433</v>
      </c>
      <c r="K32" s="48">
        <f t="shared" si="6"/>
        <v>0.10245082873531654</v>
      </c>
      <c r="L32" s="52"/>
      <c r="M32" s="52"/>
      <c r="N32" s="52"/>
      <c r="O32" s="52"/>
    </row>
    <row r="33" spans="2:15" s="43" customFormat="1" ht="13.8" x14ac:dyDescent="0.3">
      <c r="B33" s="43" t="s">
        <v>62</v>
      </c>
      <c r="E33" s="48">
        <f t="shared" ref="E33:K33" si="7">E17/E9</f>
        <v>0.13636363636363635</v>
      </c>
      <c r="F33" s="48">
        <f t="shared" si="7"/>
        <v>0.13448275862068965</v>
      </c>
      <c r="G33" s="48">
        <f t="shared" si="7"/>
        <v>9.7723616473616659E-2</v>
      </c>
      <c r="H33" s="48">
        <f t="shared" si="7"/>
        <v>4.7771860522274875E-2</v>
      </c>
      <c r="I33" s="48">
        <f t="shared" si="7"/>
        <v>0.10871366380372907</v>
      </c>
      <c r="J33" s="48">
        <f t="shared" si="7"/>
        <v>0.1595271731209138</v>
      </c>
      <c r="K33" s="48">
        <f t="shared" si="7"/>
        <v>9.3536782100786614E-2</v>
      </c>
      <c r="L33" s="52"/>
      <c r="M33" s="52"/>
      <c r="N33" s="52"/>
      <c r="O33" s="52"/>
    </row>
    <row r="34" spans="2:15" s="43" customFormat="1" ht="13.8" x14ac:dyDescent="0.3">
      <c r="B34" s="43" t="s">
        <v>159</v>
      </c>
      <c r="E34" s="48">
        <f t="shared" ref="E34:K34" si="8">E26/E9</f>
        <v>0.11454545454545455</v>
      </c>
      <c r="F34" s="48">
        <f t="shared" si="8"/>
        <v>9.1379310344827588E-2</v>
      </c>
      <c r="G34" s="48">
        <f t="shared" si="8"/>
        <v>6.6053330115830297E-2</v>
      </c>
      <c r="H34" s="48">
        <f t="shared" si="8"/>
        <v>4.9697462976703181E-2</v>
      </c>
      <c r="I34" s="48">
        <f t="shared" si="8"/>
        <v>5.1889151934462821E-2</v>
      </c>
      <c r="J34" s="48">
        <f t="shared" si="8"/>
        <v>9.1394219185393005E-2</v>
      </c>
      <c r="K34" s="48">
        <f t="shared" si="8"/>
        <v>4.8185828797641175E-2</v>
      </c>
      <c r="L34" s="52"/>
      <c r="M34" s="52"/>
      <c r="N34" s="52"/>
      <c r="O34" s="52"/>
    </row>
  </sheetData>
  <conditionalFormatting sqref="O2">
    <cfRule type="cellIs" dxfId="10" priority="1" operator="notEqual">
      <formula>0</formula>
    </cfRule>
    <cfRule type="cellIs" dxfId="9" priority="2" operator="equal">
      <formula>0</formula>
    </cfRule>
  </conditionalFormatting>
  <pageMargins left="0.7" right="0.7" top="0.75" bottom="0.75" header="0.3" footer="0.3"/>
  <pageSetup paperSize="9" scale="8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21D72-DEC5-4B9B-8A58-B65ADECBA315}">
  <sheetPr>
    <pageSetUpPr fitToPage="1"/>
  </sheetPr>
  <dimension ref="B1:P48"/>
  <sheetViews>
    <sheetView showGridLines="0" zoomScale="90" zoomScaleNormal="90" workbookViewId="0">
      <pane ySplit="5" topLeftCell="A6" activePane="bottomLeft" state="frozen"/>
      <selection activeCell="A6" sqref="A6"/>
      <selection pane="bottomLeft" activeCell="A6" sqref="A6"/>
    </sheetView>
  </sheetViews>
  <sheetFormatPr defaultRowHeight="14.4" outlineLevelRow="1" x14ac:dyDescent="0.3"/>
  <cols>
    <col min="1" max="1" width="2.21875" customWidth="1"/>
    <col min="2" max="2" width="30.5546875" customWidth="1"/>
    <col min="3" max="3" width="3.5546875" customWidth="1"/>
    <col min="4" max="4" width="2.21875" customWidth="1"/>
    <col min="5" max="11" width="8.77734375" customWidth="1"/>
    <col min="12" max="15" width="8.88671875" style="4"/>
  </cols>
  <sheetData>
    <row r="1" spans="2:16" x14ac:dyDescent="0.3">
      <c r="K1" s="12" t="s">
        <v>11</v>
      </c>
    </row>
    <row r="2" spans="2:16" ht="15.6" x14ac:dyDescent="0.3">
      <c r="B2" s="11" t="s">
        <v>32</v>
      </c>
      <c r="C2" s="8"/>
      <c r="D2" s="8"/>
      <c r="E2" s="9"/>
      <c r="N2" s="25" t="s">
        <v>176</v>
      </c>
      <c r="O2" s="25"/>
      <c r="P2" s="148">
        <f>ErrorChecks!$B$5</f>
        <v>0</v>
      </c>
    </row>
    <row r="4" spans="2:16" x14ac:dyDescent="0.3">
      <c r="B4" s="10" t="s">
        <v>162</v>
      </c>
      <c r="C4" s="3"/>
      <c r="D4" s="3"/>
    </row>
    <row r="5" spans="2:16" s="45" customFormat="1" ht="13.8" x14ac:dyDescent="0.3">
      <c r="B5" s="109" t="s">
        <v>32</v>
      </c>
      <c r="C5" s="110"/>
      <c r="D5" s="109"/>
      <c r="E5" s="110" t="str">
        <f>RR!E5</f>
        <v>R 2024</v>
      </c>
      <c r="F5" s="110" t="str">
        <f>RR!F5</f>
        <v>R 2025</v>
      </c>
      <c r="G5" s="110" t="str">
        <f>RR!G5</f>
        <v>P 2026</v>
      </c>
      <c r="H5" s="110" t="str">
        <f>RR!H5</f>
        <v>P 2027</v>
      </c>
      <c r="I5" s="110" t="str">
        <f>RR!I5</f>
        <v>P 2028</v>
      </c>
      <c r="J5" s="110" t="str">
        <f>RR!J5</f>
        <v>P 2029</v>
      </c>
      <c r="K5" s="110" t="str">
        <f>RR!K5</f>
        <v>P 2030</v>
      </c>
      <c r="L5" s="55"/>
      <c r="M5" s="55"/>
      <c r="N5" s="55"/>
      <c r="O5" s="55"/>
    </row>
    <row r="6" spans="2:16" s="43" customFormat="1" ht="13.8" outlineLevel="1" x14ac:dyDescent="0.3">
      <c r="E6" s="50"/>
      <c r="F6" s="50"/>
      <c r="G6" s="50"/>
      <c r="H6" s="50"/>
      <c r="I6" s="50"/>
      <c r="J6" s="50"/>
      <c r="K6" s="50"/>
    </row>
    <row r="7" spans="2:16" s="43" customFormat="1" ht="13.8" outlineLevel="1" x14ac:dyDescent="0.3">
      <c r="B7" s="99" t="s">
        <v>37</v>
      </c>
      <c r="E7" s="50"/>
      <c r="F7" s="50"/>
      <c r="G7" s="50"/>
      <c r="H7" s="50"/>
      <c r="I7" s="50"/>
      <c r="J7" s="50"/>
      <c r="K7" s="50"/>
    </row>
    <row r="8" spans="2:16" s="43" customFormat="1" ht="13.8" outlineLevel="1" x14ac:dyDescent="0.3">
      <c r="B8" s="94" t="s">
        <v>1</v>
      </c>
      <c r="E8" s="123">
        <f>RR!E9</f>
        <v>550</v>
      </c>
      <c r="F8" s="123">
        <f>RR!F9</f>
        <v>580</v>
      </c>
      <c r="G8" s="123">
        <f>RR!G9</f>
        <v>621.6</v>
      </c>
      <c r="H8" s="123">
        <f>RR!H9</f>
        <v>648.94949999999994</v>
      </c>
      <c r="I8" s="123">
        <f>RR!I9</f>
        <v>708.35634000000005</v>
      </c>
      <c r="J8" s="123">
        <f>RR!J9</f>
        <v>769.87987379999993</v>
      </c>
      <c r="K8" s="123">
        <f>RR!K9</f>
        <v>785.27747127600003</v>
      </c>
      <c r="L8" s="52"/>
      <c r="M8" s="52"/>
      <c r="N8" s="52"/>
      <c r="O8" s="52"/>
    </row>
    <row r="9" spans="2:16" s="43" customFormat="1" ht="13.8" outlineLevel="1" x14ac:dyDescent="0.3">
      <c r="B9" s="94" t="s">
        <v>111</v>
      </c>
      <c r="E9" s="84">
        <f>'2. Prognose RR'!E8</f>
        <v>1200</v>
      </c>
      <c r="F9" s="84">
        <f>'2. Prognose RR'!F8</f>
        <v>1200</v>
      </c>
      <c r="G9" s="84">
        <f>'2. Prognose RR'!G8</f>
        <v>1200</v>
      </c>
      <c r="H9" s="84">
        <f>'2. Prognose RR'!H8</f>
        <v>1300</v>
      </c>
      <c r="I9" s="84">
        <f>'2. Prognose RR'!I8</f>
        <v>1400</v>
      </c>
      <c r="J9" s="84">
        <f>'2. Prognose RR'!J8</f>
        <v>1500</v>
      </c>
      <c r="K9" s="84">
        <f>'2. Prognose RR'!K8</f>
        <v>1500</v>
      </c>
      <c r="L9" s="52"/>
      <c r="M9" s="52"/>
      <c r="N9" s="52"/>
      <c r="O9" s="52"/>
    </row>
    <row r="10" spans="2:16" s="43" customFormat="1" ht="13.8" outlineLevel="1" x14ac:dyDescent="0.3">
      <c r="B10" s="94" t="s">
        <v>161</v>
      </c>
      <c r="E10" s="123">
        <f>'2. Prognose RR'!E9</f>
        <v>416.66666666666669</v>
      </c>
      <c r="F10" s="123">
        <f>'2. Prognose RR'!F9</f>
        <v>437.5</v>
      </c>
      <c r="G10" s="123">
        <f>'2. Prognose RR'!G9</f>
        <v>446.25</v>
      </c>
      <c r="H10" s="123">
        <f>'2. Prognose RR'!H9</f>
        <v>455.17500000000001</v>
      </c>
      <c r="I10" s="123">
        <f>'2. Prognose RR'!I9</f>
        <v>464.27850000000001</v>
      </c>
      <c r="J10" s="123">
        <f>'2. Prognose RR'!J9</f>
        <v>473.56407000000002</v>
      </c>
      <c r="K10" s="123">
        <f>'2. Prognose RR'!K9</f>
        <v>483.03535140000002</v>
      </c>
    </row>
    <row r="11" spans="2:16" s="43" customFormat="1" ht="13.8" outlineLevel="1" x14ac:dyDescent="0.3">
      <c r="B11" s="94"/>
      <c r="E11" s="50"/>
      <c r="F11" s="50"/>
      <c r="G11" s="50"/>
      <c r="H11" s="50"/>
      <c r="I11" s="50"/>
      <c r="J11" s="50"/>
      <c r="K11" s="50"/>
    </row>
    <row r="12" spans="2:16" s="43" customFormat="1" ht="13.8" outlineLevel="1" x14ac:dyDescent="0.3">
      <c r="B12" s="94" t="s">
        <v>16</v>
      </c>
      <c r="E12" s="85">
        <f>'2. Prognose RR'!E24</f>
        <v>5</v>
      </c>
      <c r="F12" s="85">
        <f>'2. Prognose RR'!F24</f>
        <v>5</v>
      </c>
      <c r="G12" s="85">
        <f>'2. Prognose RR'!G24</f>
        <v>6</v>
      </c>
      <c r="H12" s="85">
        <f>'2. Prognose RR'!H24</f>
        <v>6</v>
      </c>
      <c r="I12" s="85">
        <f>'2. Prognose RR'!I24</f>
        <v>6</v>
      </c>
      <c r="J12" s="85">
        <f>'2. Prognose RR'!J24</f>
        <v>6</v>
      </c>
      <c r="K12" s="85">
        <f>'2. Prognose RR'!K24</f>
        <v>7</v>
      </c>
    </row>
    <row r="13" spans="2:16" s="43" customFormat="1" ht="13.8" outlineLevel="1" x14ac:dyDescent="0.3">
      <c r="B13" s="94" t="s">
        <v>110</v>
      </c>
      <c r="E13" s="123">
        <f>(RR!E9)/E12</f>
        <v>110</v>
      </c>
      <c r="F13" s="123">
        <f>(RR!F9)/F12</f>
        <v>116</v>
      </c>
      <c r="G13" s="123">
        <f>(RR!G9)/G12</f>
        <v>103.60000000000001</v>
      </c>
      <c r="H13" s="123">
        <f>(RR!H9)/H12</f>
        <v>108.15825</v>
      </c>
      <c r="I13" s="123">
        <f>(RR!I9)/I12</f>
        <v>118.05939000000001</v>
      </c>
      <c r="J13" s="123">
        <f>(RR!J9)/J12</f>
        <v>128.31331229999998</v>
      </c>
      <c r="K13" s="123">
        <f>(RR!K9)/K12</f>
        <v>112.18249589657144</v>
      </c>
      <c r="M13" s="43" t="s">
        <v>102</v>
      </c>
    </row>
    <row r="14" spans="2:16" s="43" customFormat="1" ht="13.8" outlineLevel="1" x14ac:dyDescent="0.3">
      <c r="B14" s="94" t="s">
        <v>38</v>
      </c>
      <c r="E14" s="123">
        <f>(RR!E11)/E12</f>
        <v>-60</v>
      </c>
      <c r="F14" s="123">
        <f>(RR!F11)/F12</f>
        <v>-63</v>
      </c>
      <c r="G14" s="123">
        <f>(RR!G11)/G12</f>
        <v>-61.846666666666664</v>
      </c>
      <c r="H14" s="123">
        <f>(RR!H11)/H12</f>
        <v>-62.550266666666666</v>
      </c>
      <c r="I14" s="123">
        <f>(RR!I11)/I12</f>
        <v>-63.777938666666671</v>
      </c>
      <c r="J14" s="123">
        <f>(RR!J11)/J12</f>
        <v>-65.030164106666675</v>
      </c>
      <c r="K14" s="123">
        <f>(RR!K11)/K12</f>
        <v>-66.140767388800001</v>
      </c>
    </row>
    <row r="15" spans="2:16" s="43" customFormat="1" ht="13.8" outlineLevel="1" x14ac:dyDescent="0.3">
      <c r="B15" s="94" t="s">
        <v>39</v>
      </c>
      <c r="E15" s="86">
        <f>(RR!E11)/RR!E9</f>
        <v>-0.54545454545454541</v>
      </c>
      <c r="F15" s="86">
        <f>(RR!F11)/RR!F9</f>
        <v>-0.5431034482758621</v>
      </c>
      <c r="G15" s="86">
        <f>(RR!G11)/RR!G9</f>
        <v>-0.59697554697554689</v>
      </c>
      <c r="H15" s="86">
        <f>(RR!H11)/RR!H9</f>
        <v>-0.57832173381750052</v>
      </c>
      <c r="I15" s="86">
        <f>(RR!I11)/RR!I9</f>
        <v>-0.54021911062446337</v>
      </c>
      <c r="J15" s="86">
        <f>(RR!J11)/RR!J9</f>
        <v>-0.50680761754964587</v>
      </c>
      <c r="K15" s="86">
        <f>(RR!K11)/RR!K9</f>
        <v>-0.58958188494735941</v>
      </c>
      <c r="M15" s="43" t="s">
        <v>102</v>
      </c>
    </row>
    <row r="16" spans="2:16" s="43" customFormat="1" ht="13.8" outlineLevel="1" x14ac:dyDescent="0.3">
      <c r="E16" s="87"/>
      <c r="F16" s="87"/>
      <c r="G16" s="87"/>
      <c r="H16" s="87"/>
      <c r="I16" s="87"/>
      <c r="J16" s="87"/>
      <c r="K16" s="87"/>
    </row>
    <row r="17" spans="2:15" s="43" customFormat="1" ht="13.8" outlineLevel="1" x14ac:dyDescent="0.3">
      <c r="B17" s="99" t="s">
        <v>36</v>
      </c>
      <c r="E17" s="65"/>
      <c r="F17" s="65"/>
      <c r="G17" s="65"/>
      <c r="H17" s="65"/>
      <c r="I17" s="65"/>
      <c r="J17" s="65"/>
      <c r="K17" s="65"/>
      <c r="L17" s="52"/>
      <c r="M17" s="52"/>
      <c r="N17" s="52"/>
      <c r="O17" s="52"/>
    </row>
    <row r="18" spans="2:15" s="43" customFormat="1" ht="13.8" outlineLevel="1" x14ac:dyDescent="0.3">
      <c r="B18" s="94" t="s">
        <v>12</v>
      </c>
      <c r="E18" s="123">
        <f>RR!E29</f>
        <v>85</v>
      </c>
      <c r="F18" s="123">
        <f>RR!F29</f>
        <v>89</v>
      </c>
      <c r="G18" s="123">
        <f>RR!G29</f>
        <v>70.745000000000118</v>
      </c>
      <c r="H18" s="123">
        <f>RR!H29</f>
        <v>38.001525000000015</v>
      </c>
      <c r="I18" s="123">
        <f>RR!I29</f>
        <v>84.008013000000005</v>
      </c>
      <c r="J18" s="123">
        <f>RR!J29</f>
        <v>129.81675990999986</v>
      </c>
      <c r="K18" s="123">
        <f>RR!K29</f>
        <v>80.452327719399932</v>
      </c>
      <c r="L18" s="52"/>
      <c r="M18" s="88"/>
      <c r="N18" s="52"/>
      <c r="O18" s="52"/>
    </row>
    <row r="19" spans="2:15" s="43" customFormat="1" ht="13.8" outlineLevel="1" x14ac:dyDescent="0.3">
      <c r="B19" s="94" t="s">
        <v>22</v>
      </c>
      <c r="E19" s="48">
        <f>RR!E32</f>
        <v>0.15454545454545454</v>
      </c>
      <c r="F19" s="48">
        <f>RR!F32</f>
        <v>0.15344827586206897</v>
      </c>
      <c r="G19" s="48">
        <f>RR!G32</f>
        <v>0.11381113256113275</v>
      </c>
      <c r="H19" s="48">
        <f>RR!H32</f>
        <v>5.8558524199494748E-2</v>
      </c>
      <c r="I19" s="48">
        <f>RR!I32</f>
        <v>0.11859569577650707</v>
      </c>
      <c r="J19" s="48">
        <f>RR!J32</f>
        <v>0.16861950068813433</v>
      </c>
      <c r="K19" s="48">
        <f>RR!K32</f>
        <v>0.10245082873531654</v>
      </c>
      <c r="L19" s="52"/>
      <c r="M19" s="88" t="s">
        <v>42</v>
      </c>
      <c r="N19" s="52"/>
      <c r="O19" s="52"/>
    </row>
    <row r="20" spans="2:15" s="43" customFormat="1" ht="13.8" outlineLevel="1" x14ac:dyDescent="0.3">
      <c r="B20" s="94" t="s">
        <v>23</v>
      </c>
      <c r="E20" s="48">
        <f>RR!E33</f>
        <v>0.13636363636363635</v>
      </c>
      <c r="F20" s="48">
        <f>RR!F33</f>
        <v>0.13448275862068965</v>
      </c>
      <c r="G20" s="48">
        <f>RR!G33</f>
        <v>9.7723616473616659E-2</v>
      </c>
      <c r="H20" s="48">
        <f>RR!H33</f>
        <v>4.7771860522274875E-2</v>
      </c>
      <c r="I20" s="48">
        <f>RR!I33</f>
        <v>0.10871366380372907</v>
      </c>
      <c r="J20" s="48">
        <f>RR!J33</f>
        <v>0.1595271731209138</v>
      </c>
      <c r="K20" s="48">
        <f>RR!K33</f>
        <v>9.3536782100786614E-2</v>
      </c>
      <c r="L20" s="52"/>
      <c r="M20" s="88" t="s">
        <v>41</v>
      </c>
      <c r="N20" s="52"/>
      <c r="O20" s="52"/>
    </row>
    <row r="21" spans="2:15" s="43" customFormat="1" ht="13.8" outlineLevel="1" x14ac:dyDescent="0.3">
      <c r="B21" s="94" t="s">
        <v>171</v>
      </c>
      <c r="E21" s="48">
        <f>RR!E34</f>
        <v>0.11454545454545455</v>
      </c>
      <c r="F21" s="48">
        <f>RR!F34</f>
        <v>9.1379310344827588E-2</v>
      </c>
      <c r="G21" s="48">
        <f>RR!G34</f>
        <v>6.6053330115830297E-2</v>
      </c>
      <c r="H21" s="48">
        <f>RR!H34</f>
        <v>4.9697462976703181E-2</v>
      </c>
      <c r="I21" s="48">
        <f>RR!I34</f>
        <v>5.1889151934462821E-2</v>
      </c>
      <c r="J21" s="48">
        <f>RR!J34</f>
        <v>9.1394219185393005E-2</v>
      </c>
      <c r="K21" s="48">
        <f>RR!K34</f>
        <v>4.8185828797641175E-2</v>
      </c>
      <c r="L21" s="52"/>
      <c r="M21" s="88" t="s">
        <v>40</v>
      </c>
      <c r="N21" s="52"/>
      <c r="O21" s="52"/>
    </row>
    <row r="22" spans="2:15" s="43" customFormat="1" ht="13.8" outlineLevel="1" x14ac:dyDescent="0.3">
      <c r="L22" s="52"/>
      <c r="M22" s="52"/>
      <c r="N22" s="52"/>
      <c r="O22" s="52"/>
    </row>
    <row r="23" spans="2:15" s="43" customFormat="1" ht="13.8" outlineLevel="1" x14ac:dyDescent="0.3">
      <c r="B23" s="99" t="s">
        <v>33</v>
      </c>
      <c r="L23" s="52"/>
      <c r="M23" s="52"/>
      <c r="N23" s="52"/>
      <c r="O23" s="52"/>
    </row>
    <row r="24" spans="2:15" s="43" customFormat="1" ht="13.8" outlineLevel="1" x14ac:dyDescent="0.3">
      <c r="B24" s="94" t="s">
        <v>34</v>
      </c>
      <c r="E24" s="47">
        <f>RR!E29/-RR!E22</f>
        <v>17</v>
      </c>
      <c r="F24" s="47">
        <f>RR!F29/-RR!F22</f>
        <v>14.833333333333334</v>
      </c>
      <c r="G24" s="47">
        <f>RR!G29/-RR!G22</f>
        <v>7.074500000000012</v>
      </c>
      <c r="H24" s="47">
        <f>RR!H29/-RR!H22</f>
        <v>1.1875476562500005</v>
      </c>
      <c r="I24" s="47">
        <f>RR!I29/-RR!I22</f>
        <v>2.6252504062500002</v>
      </c>
      <c r="J24" s="47">
        <f>RR!J29/-RR!J22</f>
        <v>3.9338412093939352</v>
      </c>
      <c r="K24" s="47">
        <f>RR!K29/-RR!K22</f>
        <v>2.9797158414592566</v>
      </c>
      <c r="L24" s="52"/>
      <c r="M24" s="88" t="s">
        <v>35</v>
      </c>
      <c r="N24" s="52"/>
      <c r="O24" s="52"/>
    </row>
    <row r="25" spans="2:15" s="43" customFormat="1" ht="13.8" outlineLevel="1" x14ac:dyDescent="0.3">
      <c r="L25" s="52"/>
      <c r="M25" s="52"/>
      <c r="N25" s="52"/>
      <c r="O25" s="52"/>
    </row>
    <row r="26" spans="2:15" s="45" customFormat="1" ht="13.8" x14ac:dyDescent="0.3">
      <c r="B26" s="109" t="s">
        <v>27</v>
      </c>
      <c r="C26" s="110"/>
      <c r="D26" s="109"/>
      <c r="E26" s="110" t="str">
        <f>E5</f>
        <v>R 2024</v>
      </c>
      <c r="F26" s="110" t="str">
        <f t="shared" ref="F26:K26" si="0">F5</f>
        <v>R 2025</v>
      </c>
      <c r="G26" s="110" t="str">
        <f t="shared" si="0"/>
        <v>P 2026</v>
      </c>
      <c r="H26" s="110" t="str">
        <f t="shared" si="0"/>
        <v>P 2027</v>
      </c>
      <c r="I26" s="110" t="str">
        <f t="shared" si="0"/>
        <v>P 2028</v>
      </c>
      <c r="J26" s="110" t="str">
        <f t="shared" si="0"/>
        <v>P 2029</v>
      </c>
      <c r="K26" s="110" t="str">
        <f t="shared" si="0"/>
        <v>P 2030</v>
      </c>
      <c r="L26" s="55"/>
      <c r="M26" s="55"/>
      <c r="N26" s="55"/>
      <c r="O26" s="55"/>
    </row>
    <row r="27" spans="2:15" s="43" customFormat="1" ht="13.8" outlineLevel="1" x14ac:dyDescent="0.3">
      <c r="E27" s="50"/>
      <c r="F27" s="50"/>
      <c r="G27" s="50"/>
      <c r="H27" s="50"/>
      <c r="I27" s="50"/>
      <c r="J27" s="50"/>
      <c r="K27" s="50"/>
    </row>
    <row r="28" spans="2:15" s="43" customFormat="1" ht="13.8" outlineLevel="1" x14ac:dyDescent="0.3">
      <c r="B28" s="43" t="str">
        <f>RR!B7</f>
        <v>Opbrengsten p*q</v>
      </c>
      <c r="E28" s="48">
        <f>RR!E7/RR!E$9</f>
        <v>0.90909090909090906</v>
      </c>
      <c r="F28" s="48">
        <f>RR!F7/RR!F$9</f>
        <v>0.90517241379310343</v>
      </c>
      <c r="G28" s="48">
        <f>RR!G7/RR!G$9</f>
        <v>0.8614864864864864</v>
      </c>
      <c r="H28" s="48">
        <f>RR!H7/RR!H$9</f>
        <v>0.9118236472945892</v>
      </c>
      <c r="I28" s="48">
        <f>RR!I7/RR!I$9</f>
        <v>0.91760299625468167</v>
      </c>
      <c r="J28" s="48">
        <f>RR!J7/RR!J$9</f>
        <v>0.9226713532513181</v>
      </c>
      <c r="K28" s="48">
        <f>RR!K7/RR!K$9</f>
        <v>0.9226713532513181</v>
      </c>
      <c r="L28" s="52"/>
      <c r="M28" s="52" t="s">
        <v>44</v>
      </c>
      <c r="N28" s="52"/>
      <c r="O28" s="52"/>
    </row>
    <row r="29" spans="2:15" s="43" customFormat="1" ht="13.8" outlineLevel="1" x14ac:dyDescent="0.3">
      <c r="B29" s="43" t="str">
        <f>RR!B8</f>
        <v>Overige opbrengsten</v>
      </c>
      <c r="E29" s="48">
        <f>RR!E8/RR!E$9</f>
        <v>9.0909090909090912E-2</v>
      </c>
      <c r="F29" s="48">
        <f>RR!F8/RR!F$9</f>
        <v>9.4827586206896547E-2</v>
      </c>
      <c r="G29" s="48">
        <f>RR!G8/RR!G$9</f>
        <v>0.13851351351351349</v>
      </c>
      <c r="H29" s="48">
        <f>RR!H8/RR!H$9</f>
        <v>8.8176352705410826E-2</v>
      </c>
      <c r="I29" s="48">
        <f>RR!I8/RR!I$9</f>
        <v>8.2397003745318359E-2</v>
      </c>
      <c r="J29" s="48">
        <f>RR!J8/RR!J$9</f>
        <v>7.7328646748681909E-2</v>
      </c>
      <c r="K29" s="48">
        <f>RR!K8/RR!K$9</f>
        <v>7.7328646748681909E-2</v>
      </c>
      <c r="L29" s="52"/>
      <c r="M29" s="52" t="s">
        <v>43</v>
      </c>
      <c r="N29" s="52"/>
      <c r="O29" s="52"/>
    </row>
    <row r="30" spans="2:15" s="43" customFormat="1" ht="13.8" outlineLevel="1" x14ac:dyDescent="0.3">
      <c r="B30" s="45" t="str">
        <f>RR!B9</f>
        <v>Totale opbrengsten</v>
      </c>
      <c r="C30" s="45"/>
      <c r="D30" s="45"/>
      <c r="E30" s="74">
        <f>RR!E9/RR!E$9</f>
        <v>1</v>
      </c>
      <c r="F30" s="74">
        <f>RR!F9/RR!F$9</f>
        <v>1</v>
      </c>
      <c r="G30" s="74">
        <f>RR!G9/RR!G$9</f>
        <v>1</v>
      </c>
      <c r="H30" s="74">
        <f>RR!H9/RR!H$9</f>
        <v>1</v>
      </c>
      <c r="I30" s="74">
        <f>RR!I9/RR!I$9</f>
        <v>1</v>
      </c>
      <c r="J30" s="74">
        <f>RR!J9/RR!J$9</f>
        <v>1</v>
      </c>
      <c r="K30" s="74">
        <f>RR!K9/RR!K$9</f>
        <v>1</v>
      </c>
      <c r="L30" s="52"/>
      <c r="M30" s="52"/>
      <c r="N30" s="52"/>
      <c r="O30" s="52"/>
    </row>
    <row r="31" spans="2:15" s="43" customFormat="1" ht="13.8" outlineLevel="1" x14ac:dyDescent="0.3">
      <c r="E31" s="48"/>
      <c r="F31" s="48"/>
      <c r="G31" s="48"/>
      <c r="H31" s="48"/>
      <c r="I31" s="48"/>
      <c r="J31" s="48"/>
      <c r="K31" s="48"/>
      <c r="L31" s="52"/>
      <c r="M31" s="52"/>
      <c r="N31" s="52"/>
      <c r="O31" s="52"/>
    </row>
    <row r="32" spans="2:15" s="43" customFormat="1" ht="13.8" outlineLevel="1" x14ac:dyDescent="0.3">
      <c r="B32" s="43" t="str">
        <f>RR!B11</f>
        <v>Personeelskosten</v>
      </c>
      <c r="E32" s="48">
        <f>RR!E11/RR!E$9</f>
        <v>-0.54545454545454541</v>
      </c>
      <c r="F32" s="48">
        <f>RR!F11/RR!F$9</f>
        <v>-0.5431034482758621</v>
      </c>
      <c r="G32" s="48">
        <f>RR!G11/RR!G$9</f>
        <v>-0.59697554697554689</v>
      </c>
      <c r="H32" s="48">
        <f>RR!H11/RR!H$9</f>
        <v>-0.57832173381750052</v>
      </c>
      <c r="I32" s="48">
        <f>RR!I11/RR!I$9</f>
        <v>-0.54021911062446337</v>
      </c>
      <c r="J32" s="48">
        <f>RR!J11/RR!J$9</f>
        <v>-0.50680761754964587</v>
      </c>
      <c r="K32" s="48">
        <f>RR!K11/RR!K$9</f>
        <v>-0.58958188494735941</v>
      </c>
      <c r="L32" s="52"/>
      <c r="M32" s="52"/>
      <c r="N32" s="52"/>
      <c r="O32" s="52"/>
    </row>
    <row r="33" spans="2:15" s="43" customFormat="1" ht="13.8" outlineLevel="1" x14ac:dyDescent="0.3">
      <c r="B33" s="43" t="str">
        <f>RR!B12</f>
        <v>Afschrijvingen</v>
      </c>
      <c r="E33" s="48">
        <f>RR!E12/RR!E$9</f>
        <v>-1.8181818181818181E-2</v>
      </c>
      <c r="F33" s="48">
        <f>RR!F12/RR!F$9</f>
        <v>-1.896551724137931E-2</v>
      </c>
      <c r="G33" s="48">
        <f>RR!G12/RR!G$9</f>
        <v>-1.6087516087516088E-2</v>
      </c>
      <c r="H33" s="48">
        <f>RR!H12/RR!H$9</f>
        <v>-1.0786663677219878E-2</v>
      </c>
      <c r="I33" s="48">
        <f>RR!I12/RR!I$9</f>
        <v>-9.8820319727779948E-3</v>
      </c>
      <c r="J33" s="48">
        <f>RR!J12/RR!J$9</f>
        <v>-9.0923275672205282E-3</v>
      </c>
      <c r="K33" s="48">
        <f>RR!K12/RR!K$9</f>
        <v>-8.914046634529927E-3</v>
      </c>
      <c r="L33" s="52"/>
      <c r="M33" s="52"/>
      <c r="N33" s="52"/>
      <c r="O33" s="52"/>
    </row>
    <row r="34" spans="2:15" s="43" customFormat="1" ht="13.8" outlineLevel="1" x14ac:dyDescent="0.3">
      <c r="B34" s="43" t="str">
        <f>RR!B13</f>
        <v>Huisvestingslasten</v>
      </c>
      <c r="E34" s="48">
        <f>RR!E13/RR!E$9</f>
        <v>-0.25454545454545452</v>
      </c>
      <c r="F34" s="48">
        <f>RR!F13/RR!F$9</f>
        <v>-0.25862068965517243</v>
      </c>
      <c r="G34" s="48">
        <f>RR!G13/RR!G$9</f>
        <v>-0.24613899613899612</v>
      </c>
      <c r="H34" s="48">
        <f>RR!H13/RR!H$9</f>
        <v>-0.27900476077106157</v>
      </c>
      <c r="I34" s="48">
        <f>RR!I13/RR!I$9</f>
        <v>-0.26001207245494545</v>
      </c>
      <c r="J34" s="48">
        <f>RR!J13/RR!J$9</f>
        <v>-0.2446678117071204</v>
      </c>
      <c r="K34" s="48">
        <f>RR!K13/RR!K$9</f>
        <v>-0.23636501398467247</v>
      </c>
      <c r="L34" s="52"/>
      <c r="M34" s="52"/>
      <c r="N34" s="52"/>
      <c r="O34" s="52"/>
    </row>
    <row r="35" spans="2:15" s="43" customFormat="1" ht="13.8" outlineLevel="1" x14ac:dyDescent="0.3">
      <c r="B35" s="43" t="str">
        <f>RR!B14</f>
        <v>Overige kosten</v>
      </c>
      <c r="E35" s="48">
        <f>RR!E14/RR!E$9</f>
        <v>-4.5454545454545456E-2</v>
      </c>
      <c r="F35" s="48">
        <f>RR!F14/RR!F$9</f>
        <v>-4.4827586206896551E-2</v>
      </c>
      <c r="G35" s="48">
        <f>RR!G14/RR!G$9</f>
        <v>-4.3074324324324328E-2</v>
      </c>
      <c r="H35" s="48">
        <f>RR!H14/RR!H$9</f>
        <v>-8.4114981211943315E-2</v>
      </c>
      <c r="I35" s="48">
        <f>RR!I14/RR!I$9</f>
        <v>-8.1173121144084065E-2</v>
      </c>
      <c r="J35" s="48">
        <f>RR!J14/RR!J$9</f>
        <v>-7.9905070055099295E-2</v>
      </c>
      <c r="K35" s="48">
        <f>RR!K14/RR!K$9</f>
        <v>-7.1602272332651415E-2</v>
      </c>
      <c r="L35" s="52"/>
      <c r="M35" s="52"/>
      <c r="N35" s="52"/>
      <c r="O35" s="52"/>
    </row>
    <row r="36" spans="2:15" s="43" customFormat="1" ht="13.8" outlineLevel="1" x14ac:dyDescent="0.3">
      <c r="B36" s="45" t="str">
        <f>RR!B15</f>
        <v>Totale lasten</v>
      </c>
      <c r="C36" s="45"/>
      <c r="D36" s="45"/>
      <c r="E36" s="74">
        <f>RR!E15/RR!E$9</f>
        <v>-0.86363636363636365</v>
      </c>
      <c r="F36" s="74">
        <f>RR!F15/RR!F$9</f>
        <v>-0.8655172413793103</v>
      </c>
      <c r="G36" s="74">
        <f>RR!G15/RR!G$9</f>
        <v>-0.90227638352638329</v>
      </c>
      <c r="H36" s="74">
        <f>RR!H15/RR!H$9</f>
        <v>-0.95222813947772511</v>
      </c>
      <c r="I36" s="74">
        <f>RR!I15/RR!I$9</f>
        <v>-0.89128633619627096</v>
      </c>
      <c r="J36" s="74">
        <f>RR!J15/RR!J$9</f>
        <v>-0.8404728268790862</v>
      </c>
      <c r="K36" s="74">
        <f>RR!K15/RR!K$9</f>
        <v>-0.90646321789921336</v>
      </c>
      <c r="L36" s="52"/>
      <c r="M36" s="52"/>
      <c r="N36" s="52"/>
      <c r="O36" s="52"/>
    </row>
    <row r="37" spans="2:15" s="43" customFormat="1" ht="13.8" outlineLevel="1" x14ac:dyDescent="0.3">
      <c r="E37" s="48"/>
      <c r="F37" s="48"/>
      <c r="G37" s="48"/>
      <c r="H37" s="48"/>
      <c r="I37" s="48"/>
      <c r="J37" s="48"/>
      <c r="K37" s="48"/>
      <c r="L37" s="52"/>
      <c r="M37" s="52"/>
      <c r="N37" s="52"/>
      <c r="O37" s="52"/>
    </row>
    <row r="38" spans="2:15" s="43" customFormat="1" ht="13.8" outlineLevel="1" x14ac:dyDescent="0.3">
      <c r="B38" s="45" t="str">
        <f>RR!B17</f>
        <v>Operationeel resultaat (EBIT)</v>
      </c>
      <c r="C38" s="45"/>
      <c r="D38" s="45"/>
      <c r="E38" s="74">
        <f>RR!E17/RR!E$9</f>
        <v>0.13636363636363635</v>
      </c>
      <c r="F38" s="74">
        <f>RR!F17/RR!F$9</f>
        <v>0.13448275862068965</v>
      </c>
      <c r="G38" s="74">
        <f>RR!G17/RR!G$9</f>
        <v>9.7723616473616659E-2</v>
      </c>
      <c r="H38" s="74">
        <f>RR!H17/RR!H$9</f>
        <v>4.7771860522274875E-2</v>
      </c>
      <c r="I38" s="74">
        <f>RR!I17/RR!I$9</f>
        <v>0.10871366380372907</v>
      </c>
      <c r="J38" s="74">
        <f>RR!J17/RR!J$9</f>
        <v>0.1595271731209138</v>
      </c>
      <c r="K38" s="74">
        <f>RR!K17/RR!K$9</f>
        <v>9.3536782100786614E-2</v>
      </c>
      <c r="L38" s="52"/>
      <c r="M38" s="52"/>
      <c r="N38" s="52"/>
      <c r="O38" s="52"/>
    </row>
    <row r="39" spans="2:15" s="43" customFormat="1" ht="13.8" outlineLevel="1" x14ac:dyDescent="0.3">
      <c r="E39" s="48"/>
      <c r="F39" s="48"/>
      <c r="G39" s="48"/>
      <c r="H39" s="48"/>
      <c r="I39" s="48"/>
      <c r="J39" s="48"/>
      <c r="K39" s="48"/>
      <c r="L39" s="52"/>
      <c r="M39" s="52"/>
      <c r="N39" s="52"/>
      <c r="O39" s="52"/>
    </row>
    <row r="40" spans="2:15" s="43" customFormat="1" ht="13.8" outlineLevel="1" x14ac:dyDescent="0.3">
      <c r="B40" s="43" t="str">
        <f>RR!B19</f>
        <v>Niet-operationele baten/lasten</v>
      </c>
      <c r="E40" s="48">
        <f>RR!E19/RR!E$9</f>
        <v>0</v>
      </c>
      <c r="F40" s="48">
        <f>RR!F19/RR!F$9</f>
        <v>-1.7241379310344827E-2</v>
      </c>
      <c r="G40" s="48">
        <f>RR!G19/RR!G$9</f>
        <v>0</v>
      </c>
      <c r="H40" s="48">
        <f>RR!H19/RR!H$9</f>
        <v>6.1638078155542154E-2</v>
      </c>
      <c r="I40" s="48">
        <f>RR!I19/RR!I$9</f>
        <v>0</v>
      </c>
      <c r="J40" s="48">
        <f>RR!J19/RR!J$9</f>
        <v>0</v>
      </c>
      <c r="K40" s="48">
        <f>RR!K19/RR!K$9</f>
        <v>0</v>
      </c>
      <c r="L40" s="52"/>
      <c r="M40" s="52"/>
      <c r="N40" s="52"/>
      <c r="O40" s="52"/>
    </row>
    <row r="41" spans="2:15" s="43" customFormat="1" ht="13.8" outlineLevel="1" x14ac:dyDescent="0.3">
      <c r="B41" s="43" t="str">
        <f>RR!B20</f>
        <v>Verkoopresultaat vaste activa</v>
      </c>
      <c r="E41" s="48">
        <f>RR!E20/RR!E$9</f>
        <v>0</v>
      </c>
      <c r="F41" s="48">
        <f>RR!F20/RR!F$9</f>
        <v>2.4137931034482758E-2</v>
      </c>
      <c r="G41" s="48">
        <f>RR!G20/RR!G$9</f>
        <v>3.2175032175032173E-3</v>
      </c>
      <c r="H41" s="48">
        <f>RR!H20/RR!H$9</f>
        <v>3.0819039077771078E-3</v>
      </c>
      <c r="I41" s="48">
        <f>RR!I20/RR!I$9</f>
        <v>2.8234377065079982E-3</v>
      </c>
      <c r="J41" s="48">
        <f>RR!J20/RR!J$9</f>
        <v>2.597807876348722E-3</v>
      </c>
      <c r="K41" s="48">
        <f>RR!K20/RR!K$9</f>
        <v>2.5468704670085509E-3</v>
      </c>
      <c r="L41" s="52"/>
      <c r="M41" s="52"/>
      <c r="N41" s="52"/>
      <c r="O41" s="52"/>
    </row>
    <row r="42" spans="2:15" s="43" customFormat="1" ht="13.8" outlineLevel="1" x14ac:dyDescent="0.3">
      <c r="B42" s="43" t="str">
        <f>RR!B21</f>
        <v>Financiële baten</v>
      </c>
      <c r="E42" s="48">
        <f>RR!E21/RR!E$9</f>
        <v>1.8181818181818182E-3</v>
      </c>
      <c r="F42" s="48">
        <f>RR!F21/RR!F$9</f>
        <v>3.4482758620689655E-3</v>
      </c>
      <c r="G42" s="48">
        <f>RR!G21/RR!G$9</f>
        <v>3.2175032175032173E-3</v>
      </c>
      <c r="H42" s="48">
        <f>RR!H21/RR!H$9</f>
        <v>3.0819039077771078E-3</v>
      </c>
      <c r="I42" s="48">
        <f>RR!I21/RR!I$9</f>
        <v>2.8234377065079982E-3</v>
      </c>
      <c r="J42" s="48">
        <f>RR!J21/RR!J$9</f>
        <v>2.597807876348722E-3</v>
      </c>
      <c r="K42" s="48">
        <f>RR!K21/RR!K$9</f>
        <v>2.5468704670085509E-3</v>
      </c>
      <c r="L42" s="52"/>
      <c r="M42" s="52"/>
      <c r="N42" s="52"/>
      <c r="O42" s="52"/>
    </row>
    <row r="43" spans="2:15" s="43" customFormat="1" ht="13.8" outlineLevel="1" x14ac:dyDescent="0.3">
      <c r="B43" s="43" t="str">
        <f>RR!B22</f>
        <v>Financiële lasten</v>
      </c>
      <c r="E43" s="48">
        <f>RR!E22/RR!E$9</f>
        <v>-9.0909090909090905E-3</v>
      </c>
      <c r="F43" s="48">
        <f>RR!F22/RR!F$9</f>
        <v>-1.0344827586206896E-2</v>
      </c>
      <c r="G43" s="48">
        <f>RR!G22/RR!G$9</f>
        <v>-1.6087516087516088E-2</v>
      </c>
      <c r="H43" s="48">
        <f>RR!H22/RR!H$9</f>
        <v>-4.9310462524433725E-2</v>
      </c>
      <c r="I43" s="48">
        <f>RR!I22/RR!I$9</f>
        <v>-4.5175003304127971E-2</v>
      </c>
      <c r="J43" s="48">
        <f>RR!J22/RR!J$9</f>
        <v>-4.2863829959753914E-2</v>
      </c>
      <c r="K43" s="48">
        <f>RR!K22/RR!K$9</f>
        <v>-3.4382751304615433E-2</v>
      </c>
      <c r="L43" s="52"/>
      <c r="M43" s="52"/>
      <c r="N43" s="52"/>
      <c r="O43" s="52"/>
    </row>
    <row r="44" spans="2:15" s="43" customFormat="1" ht="13.8" outlineLevel="1" x14ac:dyDescent="0.3">
      <c r="B44" s="45" t="str">
        <f>RR!B23</f>
        <v>Resultaat voor belastingen</v>
      </c>
      <c r="C44" s="45"/>
      <c r="D44" s="45"/>
      <c r="E44" s="74">
        <f>RR!E23/RR!E$9</f>
        <v>0.12909090909090909</v>
      </c>
      <c r="F44" s="74">
        <f>RR!F23/RR!F$9</f>
        <v>0.13448275862068965</v>
      </c>
      <c r="G44" s="74">
        <f>RR!G23/RR!G$9</f>
        <v>8.8071106821107012E-2</v>
      </c>
      <c r="H44" s="74">
        <f>RR!H23/RR!H$9</f>
        <v>6.626328396893752E-2</v>
      </c>
      <c r="I44" s="74">
        <f>RR!I23/RR!I$9</f>
        <v>6.9185535912617085E-2</v>
      </c>
      <c r="J44" s="74">
        <f>RR!J23/RR!J$9</f>
        <v>0.12185895891385733</v>
      </c>
      <c r="K44" s="74">
        <f>RR!K23/RR!K$9</f>
        <v>6.424777173018828E-2</v>
      </c>
      <c r="L44" s="52"/>
      <c r="M44" s="52"/>
      <c r="N44" s="52"/>
      <c r="O44" s="52"/>
    </row>
    <row r="45" spans="2:15" s="43" customFormat="1" ht="13.8" outlineLevel="1" x14ac:dyDescent="0.3">
      <c r="B45" s="45"/>
      <c r="C45" s="45"/>
      <c r="D45" s="45"/>
      <c r="E45" s="68"/>
      <c r="F45" s="68"/>
      <c r="G45" s="68"/>
      <c r="H45" s="68"/>
      <c r="I45" s="68"/>
      <c r="J45" s="68"/>
      <c r="K45" s="68"/>
      <c r="L45" s="52"/>
      <c r="M45" s="52"/>
      <c r="N45" s="52"/>
      <c r="O45" s="52"/>
    </row>
    <row r="46" spans="2:15" s="43" customFormat="1" ht="13.8" outlineLevel="1" x14ac:dyDescent="0.3">
      <c r="B46" s="43" t="str">
        <f>RR!B25</f>
        <v>Belastingen</v>
      </c>
      <c r="E46" s="48">
        <f>RR!E25/RR!E$9</f>
        <v>-1.4545454545454545E-2</v>
      </c>
      <c r="F46" s="48">
        <f>RR!F25/RR!F$9</f>
        <v>-4.3103448275862072E-2</v>
      </c>
      <c r="G46" s="48">
        <f>RR!G25/RR!G$9</f>
        <v>-2.2017776705276708E-2</v>
      </c>
      <c r="H46" s="48">
        <f>RR!H25/RR!H$9</f>
        <v>-1.6565820992234335E-2</v>
      </c>
      <c r="I46" s="48">
        <f>RR!I25/RR!I$9</f>
        <v>-1.7296383978154271E-2</v>
      </c>
      <c r="J46" s="48">
        <f>RR!J25/RR!J$9</f>
        <v>-3.0464739728464332E-2</v>
      </c>
      <c r="K46" s="48">
        <f>RR!K25/RR!K$9</f>
        <v>-1.6061942932547105E-2</v>
      </c>
      <c r="L46" s="52"/>
      <c r="M46" s="52"/>
      <c r="N46" s="52"/>
      <c r="O46" s="52"/>
    </row>
    <row r="47" spans="2:15" s="43" customFormat="1" outlineLevel="1" thickBot="1" x14ac:dyDescent="0.35">
      <c r="B47" s="45" t="str">
        <f>RR!B26</f>
        <v>Netto resultaat</v>
      </c>
      <c r="C47" s="45"/>
      <c r="D47" s="45"/>
      <c r="E47" s="75">
        <f>RR!E26/RR!E$9</f>
        <v>0.11454545454545455</v>
      </c>
      <c r="F47" s="75">
        <f>RR!F26/RR!F$9</f>
        <v>9.1379310344827588E-2</v>
      </c>
      <c r="G47" s="75">
        <f>RR!G26/RR!G$9</f>
        <v>6.6053330115830297E-2</v>
      </c>
      <c r="H47" s="75">
        <f>RR!H26/RR!H$9</f>
        <v>4.9697462976703181E-2</v>
      </c>
      <c r="I47" s="75">
        <f>RR!I26/RR!I$9</f>
        <v>5.1889151934462821E-2</v>
      </c>
      <c r="J47" s="75">
        <f>RR!J26/RR!J$9</f>
        <v>9.1394219185393005E-2</v>
      </c>
      <c r="K47" s="75">
        <f>RR!K26/RR!K$9</f>
        <v>4.8185828797641175E-2</v>
      </c>
      <c r="L47" s="52"/>
      <c r="M47" s="52"/>
      <c r="N47" s="52"/>
      <c r="O47" s="52"/>
    </row>
    <row r="48" spans="2:15" s="43" customFormat="1" thickTop="1" x14ac:dyDescent="0.3">
      <c r="L48" s="52"/>
      <c r="M48" s="52"/>
      <c r="N48" s="52"/>
      <c r="O48" s="52"/>
    </row>
  </sheetData>
  <conditionalFormatting sqref="P2">
    <cfRule type="cellIs" dxfId="8" priority="1" operator="notEqual">
      <formula>0</formula>
    </cfRule>
    <cfRule type="cellIs" dxfId="7" priority="2" operator="equal">
      <formula>0</formula>
    </cfRule>
  </conditionalFormatting>
  <pageMargins left="0.7" right="0.7" top="0.75" bottom="0.75" header="0.3" footer="0.3"/>
  <pageSetup paperSize="9" scale="7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E1741-1150-447B-9A6B-04A113DE3261}">
  <sheetPr>
    <tabColor theme="4" tint="-0.249977111117893"/>
  </sheetPr>
  <dimension ref="A1"/>
  <sheetViews>
    <sheetView showGridLines="0" workbookViewId="0"/>
  </sheetViews>
  <sheetFormatPr defaultRowHeight="14.4" x14ac:dyDescent="0.3"/>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A9A12-7009-4A3F-855F-9AED8A3A1169}">
  <dimension ref="B1:P54"/>
  <sheetViews>
    <sheetView showGridLines="0" zoomScale="90" zoomScaleNormal="90" workbookViewId="0">
      <pane ySplit="4" topLeftCell="A5" activePane="bottomLeft" state="frozen"/>
      <selection pane="bottomLeft"/>
    </sheetView>
  </sheetViews>
  <sheetFormatPr defaultRowHeight="14.4" outlineLevelRow="1" x14ac:dyDescent="0.3"/>
  <cols>
    <col min="1" max="1" width="2.21875" customWidth="1"/>
    <col min="2" max="2" width="33.6640625" customWidth="1"/>
    <col min="3" max="4" width="1.5546875" customWidth="1"/>
  </cols>
  <sheetData>
    <row r="1" spans="2:16" x14ac:dyDescent="0.3">
      <c r="K1" s="42" t="s">
        <v>11</v>
      </c>
    </row>
    <row r="2" spans="2:16" ht="15.6" x14ac:dyDescent="0.3">
      <c r="B2" s="33" t="s">
        <v>188</v>
      </c>
      <c r="C2" s="34"/>
      <c r="D2" s="34"/>
      <c r="E2" s="41"/>
      <c r="F2" s="25" t="s">
        <v>176</v>
      </c>
      <c r="G2" s="25"/>
      <c r="H2" s="148">
        <f>ErrorChecks!$B$5</f>
        <v>0</v>
      </c>
    </row>
    <row r="3" spans="2:16" x14ac:dyDescent="0.3">
      <c r="B3" s="35"/>
      <c r="C3" s="35"/>
      <c r="D3" s="35"/>
      <c r="E3" s="36"/>
      <c r="F3" s="36"/>
    </row>
    <row r="4" spans="2:16" x14ac:dyDescent="0.3">
      <c r="B4" s="37" t="s">
        <v>9</v>
      </c>
      <c r="C4" s="37"/>
      <c r="D4" s="37"/>
      <c r="E4" s="30"/>
      <c r="F4" s="30"/>
    </row>
    <row r="5" spans="2:16" s="2" customFormat="1" x14ac:dyDescent="0.3">
      <c r="B5" s="109" t="s">
        <v>119</v>
      </c>
      <c r="C5" s="110"/>
      <c r="D5" s="109"/>
      <c r="E5" s="110"/>
      <c r="F5" s="110"/>
      <c r="G5" s="110"/>
      <c r="H5" s="110"/>
      <c r="I5" s="110"/>
      <c r="J5" s="110"/>
      <c r="K5" s="110"/>
      <c r="L5" s="49"/>
      <c r="M5" s="49"/>
      <c r="N5" s="16"/>
      <c r="O5" s="16"/>
      <c r="P5" s="19"/>
    </row>
    <row r="6" spans="2:16" outlineLevel="1" x14ac:dyDescent="0.3">
      <c r="B6" s="43"/>
      <c r="C6" s="43"/>
      <c r="D6" s="43"/>
      <c r="E6" s="50"/>
      <c r="F6" s="50"/>
      <c r="G6" s="43"/>
      <c r="H6" s="43"/>
      <c r="I6" s="43"/>
      <c r="J6" s="43"/>
      <c r="K6" s="43"/>
      <c r="L6" s="43"/>
      <c r="M6" s="43"/>
    </row>
    <row r="7" spans="2:16" outlineLevel="1" x14ac:dyDescent="0.3">
      <c r="B7" s="43" t="s">
        <v>155</v>
      </c>
      <c r="C7" s="43"/>
      <c r="D7" s="43"/>
      <c r="E7" s="100">
        <v>2026</v>
      </c>
      <c r="F7" s="44"/>
      <c r="G7" s="43"/>
      <c r="H7" s="43"/>
      <c r="I7" s="43"/>
      <c r="J7" s="43"/>
      <c r="K7" s="43"/>
      <c r="L7" s="43"/>
      <c r="M7" s="43" t="s">
        <v>120</v>
      </c>
    </row>
    <row r="8" spans="2:16" x14ac:dyDescent="0.3">
      <c r="B8" s="43"/>
      <c r="C8" s="43"/>
      <c r="D8" s="43"/>
      <c r="E8" s="44"/>
      <c r="F8" s="44"/>
      <c r="G8" s="43"/>
      <c r="H8" s="43"/>
      <c r="I8" s="43"/>
      <c r="J8" s="43"/>
      <c r="K8" s="43"/>
      <c r="L8" s="43"/>
      <c r="M8" s="43"/>
    </row>
    <row r="9" spans="2:16" s="2" customFormat="1" x14ac:dyDescent="0.3">
      <c r="B9" s="109" t="s">
        <v>121</v>
      </c>
      <c r="C9" s="110"/>
      <c r="D9" s="109"/>
      <c r="E9" s="110" t="str">
        <f>"R "&amp;E7-2</f>
        <v>R 2024</v>
      </c>
      <c r="F9" s="110" t="str">
        <f>"R "&amp;RIGHT(E9,4)+1</f>
        <v>R 2025</v>
      </c>
      <c r="G9" s="112" t="str">
        <f>"P "&amp;RIGHT(F9,4)+1</f>
        <v>P 2026</v>
      </c>
      <c r="H9" s="112" t="str">
        <f t="shared" ref="H9:K9" si="0">"P "&amp;RIGHT(G9,4)+1</f>
        <v>P 2027</v>
      </c>
      <c r="I9" s="112" t="str">
        <f t="shared" si="0"/>
        <v>P 2028</v>
      </c>
      <c r="J9" s="112" t="str">
        <f t="shared" si="0"/>
        <v>P 2029</v>
      </c>
      <c r="K9" s="112" t="str">
        <f t="shared" si="0"/>
        <v>P 2030</v>
      </c>
      <c r="L9" s="49"/>
      <c r="M9" s="80" t="s">
        <v>170</v>
      </c>
      <c r="N9" s="16"/>
      <c r="O9" s="16"/>
      <c r="P9" s="19"/>
    </row>
    <row r="10" spans="2:16" outlineLevel="1" x14ac:dyDescent="0.3">
      <c r="B10" s="43"/>
      <c r="C10" s="43"/>
      <c r="D10" s="43"/>
      <c r="E10" s="113"/>
      <c r="F10" s="113"/>
      <c r="G10" s="43"/>
      <c r="H10" s="43"/>
      <c r="I10" s="43"/>
      <c r="J10" s="43"/>
      <c r="K10" s="43"/>
      <c r="L10" s="43"/>
      <c r="M10" s="43"/>
    </row>
    <row r="11" spans="2:16" outlineLevel="1" x14ac:dyDescent="0.3">
      <c r="B11" s="43" t="str">
        <f>RR!B7</f>
        <v>Opbrengsten p*q</v>
      </c>
      <c r="C11" s="43"/>
      <c r="D11" s="43"/>
      <c r="E11" s="111">
        <v>500</v>
      </c>
      <c r="F11" s="111">
        <v>525</v>
      </c>
      <c r="G11" s="124"/>
      <c r="H11" s="124"/>
      <c r="I11" s="124"/>
      <c r="J11" s="124"/>
      <c r="K11" s="124"/>
      <c r="L11" s="43"/>
      <c r="M11" s="43"/>
    </row>
    <row r="12" spans="2:16" outlineLevel="1" x14ac:dyDescent="0.3">
      <c r="B12" s="43" t="str">
        <f>RR!B8</f>
        <v>Overige opbrengsten</v>
      </c>
      <c r="C12" s="43"/>
      <c r="D12" s="43"/>
      <c r="E12" s="111">
        <v>50</v>
      </c>
      <c r="F12" s="111">
        <v>55</v>
      </c>
      <c r="G12" s="124"/>
      <c r="H12" s="124"/>
      <c r="I12" s="124"/>
      <c r="J12" s="124"/>
      <c r="K12" s="124"/>
      <c r="L12" s="43"/>
      <c r="M12" s="43"/>
    </row>
    <row r="13" spans="2:16" s="2" customFormat="1" outlineLevel="1" x14ac:dyDescent="0.3">
      <c r="B13" s="45" t="str">
        <f>RR!B9</f>
        <v>Totale opbrengsten</v>
      </c>
      <c r="C13" s="45"/>
      <c r="D13" s="45"/>
      <c r="E13" s="114">
        <f>SUM(E11:E12)</f>
        <v>550</v>
      </c>
      <c r="F13" s="114">
        <f>SUM(F11:F12)</f>
        <v>580</v>
      </c>
      <c r="G13" s="125"/>
      <c r="H13" s="125"/>
      <c r="I13" s="125"/>
      <c r="J13" s="125"/>
      <c r="K13" s="125"/>
      <c r="L13" s="45"/>
      <c r="M13" s="45"/>
    </row>
    <row r="14" spans="2:16" ht="8.4" customHeight="1" outlineLevel="1" x14ac:dyDescent="0.3">
      <c r="B14" s="43"/>
      <c r="C14" s="43"/>
      <c r="D14" s="43"/>
      <c r="E14" s="115"/>
      <c r="F14" s="115"/>
      <c r="G14" s="124"/>
      <c r="H14" s="124"/>
      <c r="I14" s="124"/>
      <c r="J14" s="124"/>
      <c r="K14" s="124"/>
      <c r="L14" s="43"/>
      <c r="M14" s="43"/>
    </row>
    <row r="15" spans="2:16" outlineLevel="1" x14ac:dyDescent="0.3">
      <c r="B15" s="43" t="str">
        <f>RR!B11</f>
        <v>Personeelskosten</v>
      </c>
      <c r="C15" s="43"/>
      <c r="D15" s="43"/>
      <c r="E15" s="111">
        <v>-300</v>
      </c>
      <c r="F15" s="111">
        <v>-315</v>
      </c>
      <c r="G15" s="124"/>
      <c r="H15" s="124"/>
      <c r="I15" s="124"/>
      <c r="J15" s="124"/>
      <c r="K15" s="124"/>
      <c r="L15" s="43"/>
      <c r="M15" s="43"/>
    </row>
    <row r="16" spans="2:16" outlineLevel="1" x14ac:dyDescent="0.3">
      <c r="B16" s="43" t="str">
        <f>RR!B12</f>
        <v>Afschrijvingen</v>
      </c>
      <c r="C16" s="43"/>
      <c r="D16" s="43"/>
      <c r="E16" s="111">
        <v>-10</v>
      </c>
      <c r="F16" s="111">
        <v>-11</v>
      </c>
      <c r="G16" s="124"/>
      <c r="H16" s="124"/>
      <c r="I16" s="124"/>
      <c r="J16" s="124"/>
      <c r="K16" s="124"/>
      <c r="L16" s="43"/>
      <c r="M16" s="43"/>
    </row>
    <row r="17" spans="2:16" outlineLevel="1" x14ac:dyDescent="0.3">
      <c r="B17" s="43" t="str">
        <f>RR!B13</f>
        <v>Huisvestingslasten</v>
      </c>
      <c r="C17" s="43"/>
      <c r="D17" s="43"/>
      <c r="E17" s="111">
        <v>-140</v>
      </c>
      <c r="F17" s="111">
        <v>-150</v>
      </c>
      <c r="G17" s="124"/>
      <c r="H17" s="124"/>
      <c r="I17" s="124"/>
      <c r="J17" s="124"/>
      <c r="K17" s="124"/>
      <c r="L17" s="43"/>
      <c r="M17" s="43"/>
    </row>
    <row r="18" spans="2:16" outlineLevel="1" x14ac:dyDescent="0.3">
      <c r="B18" s="43" t="str">
        <f>RR!B14</f>
        <v>Overige kosten</v>
      </c>
      <c r="C18" s="43"/>
      <c r="D18" s="43"/>
      <c r="E18" s="111">
        <v>-25</v>
      </c>
      <c r="F18" s="111">
        <v>-26</v>
      </c>
      <c r="G18" s="124"/>
      <c r="H18" s="124"/>
      <c r="I18" s="124"/>
      <c r="J18" s="124"/>
      <c r="K18" s="124"/>
      <c r="L18" s="43"/>
      <c r="M18" s="43"/>
    </row>
    <row r="19" spans="2:16" s="2" customFormat="1" outlineLevel="1" x14ac:dyDescent="0.3">
      <c r="B19" s="45" t="str">
        <f>RR!B15</f>
        <v>Totale lasten</v>
      </c>
      <c r="C19" s="45"/>
      <c r="D19" s="45"/>
      <c r="E19" s="114">
        <f>SUM(E15:E18)</f>
        <v>-475</v>
      </c>
      <c r="F19" s="114">
        <f>SUM(F15:F18)</f>
        <v>-502</v>
      </c>
      <c r="G19" s="125"/>
      <c r="H19" s="125"/>
      <c r="I19" s="125"/>
      <c r="J19" s="125"/>
      <c r="K19" s="125"/>
      <c r="L19" s="45"/>
      <c r="M19" s="43"/>
    </row>
    <row r="20" spans="2:16" ht="8.4" customHeight="1" outlineLevel="1" x14ac:dyDescent="0.3">
      <c r="B20" s="43"/>
      <c r="C20" s="43"/>
      <c r="D20" s="43"/>
      <c r="E20" s="115"/>
      <c r="F20" s="115"/>
      <c r="G20" s="124"/>
      <c r="H20" s="124"/>
      <c r="I20" s="124"/>
      <c r="J20" s="124"/>
      <c r="K20" s="124"/>
      <c r="L20" s="43"/>
      <c r="M20" s="43"/>
    </row>
    <row r="21" spans="2:16" s="2" customFormat="1" outlineLevel="1" x14ac:dyDescent="0.3">
      <c r="B21" s="45" t="str">
        <f>RR!B17</f>
        <v>Operationeel resultaat (EBIT)</v>
      </c>
      <c r="C21" s="45"/>
      <c r="D21" s="45"/>
      <c r="E21" s="114">
        <f>E13+E19</f>
        <v>75</v>
      </c>
      <c r="F21" s="114">
        <f>F13+F19</f>
        <v>78</v>
      </c>
      <c r="G21" s="125"/>
      <c r="H21" s="125"/>
      <c r="I21" s="125"/>
      <c r="J21" s="125"/>
      <c r="K21" s="125"/>
      <c r="L21" s="45"/>
      <c r="M21" s="43"/>
      <c r="N21"/>
      <c r="O21"/>
      <c r="P21"/>
    </row>
    <row r="22" spans="2:16" ht="8.4" customHeight="1" outlineLevel="1" x14ac:dyDescent="0.3">
      <c r="B22" s="43"/>
      <c r="C22" s="43"/>
      <c r="D22" s="43"/>
      <c r="E22" s="115"/>
      <c r="F22" s="115"/>
      <c r="G22" s="124"/>
      <c r="H22" s="124"/>
      <c r="I22" s="124"/>
      <c r="J22" s="124"/>
      <c r="K22" s="124"/>
      <c r="L22" s="43"/>
      <c r="M22" s="43"/>
    </row>
    <row r="23" spans="2:16" outlineLevel="1" x14ac:dyDescent="0.3">
      <c r="B23" s="43" t="str">
        <f>RR!B19</f>
        <v>Niet-operationele baten/lasten</v>
      </c>
      <c r="C23" s="43"/>
      <c r="D23" s="43"/>
      <c r="E23" s="111">
        <v>0</v>
      </c>
      <c r="F23" s="111">
        <v>-10</v>
      </c>
      <c r="G23" s="125"/>
      <c r="H23" s="125"/>
      <c r="I23" s="125"/>
      <c r="J23" s="125"/>
      <c r="K23" s="125"/>
      <c r="L23" s="43"/>
      <c r="M23" s="43"/>
    </row>
    <row r="24" spans="2:16" outlineLevel="1" x14ac:dyDescent="0.3">
      <c r="B24" s="43" t="str">
        <f>RR!B20</f>
        <v>Verkoopresultaat vaste activa</v>
      </c>
      <c r="C24" s="43"/>
      <c r="D24" s="43"/>
      <c r="E24" s="111">
        <v>0</v>
      </c>
      <c r="F24" s="111">
        <v>14</v>
      </c>
      <c r="G24" s="125"/>
      <c r="H24" s="125"/>
      <c r="I24" s="125"/>
      <c r="J24" s="125"/>
      <c r="K24" s="125"/>
      <c r="L24" s="43"/>
      <c r="M24" s="43"/>
    </row>
    <row r="25" spans="2:16" outlineLevel="1" x14ac:dyDescent="0.3">
      <c r="B25" s="43" t="str">
        <f>RR!B21</f>
        <v>Financiële baten</v>
      </c>
      <c r="C25" s="43"/>
      <c r="D25" s="43"/>
      <c r="E25" s="111">
        <v>1</v>
      </c>
      <c r="F25" s="111">
        <v>2</v>
      </c>
      <c r="G25" s="125"/>
      <c r="H25" s="125"/>
      <c r="I25" s="125"/>
      <c r="J25" s="125"/>
      <c r="K25" s="125"/>
      <c r="L25" s="43"/>
      <c r="M25" s="43"/>
    </row>
    <row r="26" spans="2:16" outlineLevel="1" x14ac:dyDescent="0.3">
      <c r="B26" s="43" t="s">
        <v>136</v>
      </c>
      <c r="C26" s="43"/>
      <c r="D26" s="43"/>
      <c r="E26" s="111">
        <v>-4</v>
      </c>
      <c r="F26" s="111">
        <v>-4</v>
      </c>
      <c r="G26" s="125"/>
      <c r="H26" s="125"/>
      <c r="I26" s="125"/>
      <c r="J26" s="125"/>
      <c r="K26" s="125"/>
      <c r="L26" s="43"/>
      <c r="M26" s="43" t="s">
        <v>138</v>
      </c>
    </row>
    <row r="27" spans="2:16" outlineLevel="1" x14ac:dyDescent="0.3">
      <c r="B27" s="43" t="s">
        <v>137</v>
      </c>
      <c r="C27" s="43"/>
      <c r="D27" s="43"/>
      <c r="E27" s="111">
        <v>-1</v>
      </c>
      <c r="F27" s="111">
        <v>-2</v>
      </c>
      <c r="G27" s="125"/>
      <c r="H27" s="125"/>
      <c r="I27" s="125"/>
      <c r="J27" s="125"/>
      <c r="K27" s="125"/>
      <c r="L27" s="43"/>
      <c r="M27" s="43"/>
    </row>
    <row r="28" spans="2:16" s="2" customFormat="1" outlineLevel="1" x14ac:dyDescent="0.3">
      <c r="B28" s="45" t="str">
        <f>RR!B23</f>
        <v>Resultaat voor belastingen</v>
      </c>
      <c r="C28" s="45"/>
      <c r="D28" s="45"/>
      <c r="E28" s="114">
        <f>SUM(E21:E27)</f>
        <v>71</v>
      </c>
      <c r="F28" s="114">
        <f>SUM(F21:F27)</f>
        <v>78</v>
      </c>
      <c r="G28" s="125"/>
      <c r="H28" s="125"/>
      <c r="I28" s="125"/>
      <c r="J28" s="125"/>
      <c r="K28" s="125"/>
      <c r="L28" s="45"/>
      <c r="M28" s="45"/>
    </row>
    <row r="29" spans="2:16" s="2" customFormat="1" ht="9" customHeight="1" outlineLevel="1" x14ac:dyDescent="0.3">
      <c r="B29" s="45"/>
      <c r="C29" s="45"/>
      <c r="D29" s="45"/>
      <c r="E29" s="116"/>
      <c r="F29" s="116"/>
      <c r="G29" s="125"/>
      <c r="H29" s="125"/>
      <c r="I29" s="125"/>
      <c r="J29" s="125"/>
      <c r="K29" s="125"/>
      <c r="L29" s="45"/>
      <c r="M29" s="45"/>
    </row>
    <row r="30" spans="2:16" outlineLevel="1" x14ac:dyDescent="0.3">
      <c r="B30" s="43" t="str">
        <f>RR!B25</f>
        <v>Belastingen</v>
      </c>
      <c r="C30" s="43"/>
      <c r="D30" s="43"/>
      <c r="E30" s="111">
        <f>-8</f>
        <v>-8</v>
      </c>
      <c r="F30" s="111">
        <v>-25</v>
      </c>
      <c r="G30" s="125"/>
      <c r="H30" s="125"/>
      <c r="I30" s="125"/>
      <c r="J30" s="125"/>
      <c r="K30" s="125"/>
      <c r="L30" s="43"/>
      <c r="M30" s="43"/>
    </row>
    <row r="31" spans="2:16" s="2" customFormat="1" ht="15" outlineLevel="1" thickBot="1" x14ac:dyDescent="0.35">
      <c r="B31" s="45" t="str">
        <f>RR!B26</f>
        <v>Netto resultaat</v>
      </c>
      <c r="C31" s="45"/>
      <c r="D31" s="45"/>
      <c r="E31" s="117">
        <f>SUM(E28:E30)</f>
        <v>63</v>
      </c>
      <c r="F31" s="117">
        <f t="shared" ref="F31" si="1">SUM(F28:F30)</f>
        <v>53</v>
      </c>
      <c r="G31" s="125"/>
      <c r="H31" s="125"/>
      <c r="I31" s="125"/>
      <c r="J31" s="125"/>
      <c r="K31" s="125"/>
      <c r="L31" s="45"/>
      <c r="M31" s="45"/>
    </row>
    <row r="32" spans="2:16" ht="15" outlineLevel="1" thickTop="1" x14ac:dyDescent="0.3">
      <c r="B32" s="43"/>
      <c r="C32" s="43"/>
      <c r="D32" s="43"/>
      <c r="E32" s="115"/>
      <c r="F32" s="115"/>
      <c r="G32" s="124"/>
      <c r="H32" s="124"/>
      <c r="I32" s="124"/>
      <c r="J32" s="124"/>
      <c r="K32" s="124"/>
      <c r="L32" s="43"/>
      <c r="M32" s="43"/>
    </row>
    <row r="33" spans="2:13" s="3" customFormat="1" outlineLevel="1" x14ac:dyDescent="0.3">
      <c r="B33" s="51" t="str">
        <f>RR!B28</f>
        <v>Dividend uitkering</v>
      </c>
      <c r="C33" s="51"/>
      <c r="D33" s="51"/>
      <c r="E33" s="111">
        <v>10</v>
      </c>
      <c r="F33" s="111">
        <v>11</v>
      </c>
      <c r="G33" s="125"/>
      <c r="H33" s="125"/>
      <c r="I33" s="125"/>
      <c r="J33" s="125"/>
      <c r="K33" s="125"/>
      <c r="L33" s="51"/>
      <c r="M33" s="51"/>
    </row>
    <row r="34" spans="2:13" x14ac:dyDescent="0.3">
      <c r="B34" s="43"/>
      <c r="C34" s="43"/>
      <c r="D34" s="43"/>
      <c r="E34" s="118"/>
      <c r="F34" s="118"/>
    </row>
    <row r="35" spans="2:13" x14ac:dyDescent="0.3">
      <c r="B35" s="43"/>
      <c r="C35" s="43"/>
      <c r="D35" s="43"/>
      <c r="E35" s="119"/>
      <c r="F35" s="119"/>
      <c r="G35" s="43"/>
      <c r="H35" s="43"/>
      <c r="I35" s="43"/>
      <c r="J35" s="43"/>
      <c r="K35" s="43"/>
      <c r="L35" s="43"/>
      <c r="M35" s="43"/>
    </row>
    <row r="36" spans="2:13" x14ac:dyDescent="0.3">
      <c r="B36" s="43"/>
      <c r="C36" s="43"/>
      <c r="D36" s="43"/>
      <c r="E36" s="119"/>
      <c r="F36" s="119"/>
      <c r="G36" s="43"/>
      <c r="H36" s="43"/>
      <c r="I36" s="43"/>
      <c r="J36" s="43"/>
      <c r="K36" s="43"/>
      <c r="L36" s="43"/>
      <c r="M36" s="43"/>
    </row>
    <row r="37" spans="2:13" x14ac:dyDescent="0.3">
      <c r="E37" s="118"/>
      <c r="F37" s="118"/>
    </row>
    <row r="38" spans="2:13" x14ac:dyDescent="0.3">
      <c r="E38" s="118"/>
      <c r="F38" s="118"/>
    </row>
    <row r="39" spans="2:13" x14ac:dyDescent="0.3">
      <c r="E39" s="118"/>
      <c r="F39" s="118"/>
    </row>
    <row r="40" spans="2:13" x14ac:dyDescent="0.3">
      <c r="E40" s="118"/>
      <c r="F40" s="118"/>
    </row>
    <row r="41" spans="2:13" x14ac:dyDescent="0.3">
      <c r="E41" s="118"/>
      <c r="F41" s="118"/>
    </row>
    <row r="42" spans="2:13" x14ac:dyDescent="0.3">
      <c r="E42" s="118"/>
      <c r="F42" s="118"/>
    </row>
    <row r="43" spans="2:13" x14ac:dyDescent="0.3">
      <c r="E43" s="118"/>
      <c r="F43" s="118"/>
    </row>
    <row r="44" spans="2:13" x14ac:dyDescent="0.3">
      <c r="E44" s="118"/>
      <c r="F44" s="118"/>
    </row>
    <row r="45" spans="2:13" x14ac:dyDescent="0.3">
      <c r="E45" s="118"/>
      <c r="F45" s="118"/>
    </row>
    <row r="46" spans="2:13" x14ac:dyDescent="0.3">
      <c r="E46" s="118"/>
      <c r="F46" s="118"/>
    </row>
    <row r="47" spans="2:13" x14ac:dyDescent="0.3">
      <c r="E47" s="118"/>
      <c r="F47" s="118"/>
    </row>
    <row r="48" spans="2:13" x14ac:dyDescent="0.3">
      <c r="E48" s="118"/>
      <c r="F48" s="118"/>
    </row>
    <row r="49" spans="5:6" x14ac:dyDescent="0.3">
      <c r="E49" s="118"/>
      <c r="F49" s="118"/>
    </row>
    <row r="50" spans="5:6" x14ac:dyDescent="0.3">
      <c r="E50" s="118"/>
      <c r="F50" s="118"/>
    </row>
    <row r="51" spans="5:6" x14ac:dyDescent="0.3">
      <c r="E51" s="118"/>
      <c r="F51" s="118"/>
    </row>
    <row r="52" spans="5:6" x14ac:dyDescent="0.3">
      <c r="E52" s="118"/>
      <c r="F52" s="118"/>
    </row>
    <row r="53" spans="5:6" x14ac:dyDescent="0.3">
      <c r="E53" s="118"/>
      <c r="F53" s="118"/>
    </row>
    <row r="54" spans="5:6" x14ac:dyDescent="0.3">
      <c r="E54" s="118"/>
      <c r="F54" s="118"/>
    </row>
  </sheetData>
  <conditionalFormatting sqref="H2">
    <cfRule type="cellIs" dxfId="6" priority="1" operator="notEqual">
      <formula>0</formula>
    </cfRule>
    <cfRule type="cellIs" dxfId="5" priority="2" operator="equal">
      <formula>0</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86"/>
  <sheetViews>
    <sheetView showGridLines="0" zoomScale="90" zoomScaleNormal="90" workbookViewId="0">
      <pane ySplit="4" topLeftCell="A5" activePane="bottomLeft" state="frozen"/>
      <selection pane="bottomLeft" activeCell="A5" sqref="A5"/>
    </sheetView>
  </sheetViews>
  <sheetFormatPr defaultRowHeight="14.4" outlineLevelRow="1" x14ac:dyDescent="0.3"/>
  <cols>
    <col min="1" max="1" width="2.21875" customWidth="1"/>
    <col min="2" max="2" width="37.21875" customWidth="1"/>
    <col min="3" max="3" width="7.109375" customWidth="1"/>
    <col min="4" max="4" width="3.5546875" customWidth="1"/>
    <col min="5" max="11" width="8.33203125" customWidth="1"/>
    <col min="12" max="15" width="9.109375" style="4"/>
  </cols>
  <sheetData>
    <row r="1" spans="2:15" x14ac:dyDescent="0.3">
      <c r="K1" s="12" t="s">
        <v>11</v>
      </c>
    </row>
    <row r="2" spans="2:15" ht="15.6" x14ac:dyDescent="0.3">
      <c r="B2" s="11" t="s">
        <v>122</v>
      </c>
      <c r="C2" s="2"/>
      <c r="F2" s="25" t="s">
        <v>176</v>
      </c>
      <c r="G2" s="25"/>
      <c r="H2" s="148">
        <f>ErrorChecks!$B$5</f>
        <v>0</v>
      </c>
      <c r="K2" s="12"/>
    </row>
    <row r="4" spans="2:15" s="8" customFormat="1" ht="12" x14ac:dyDescent="0.25">
      <c r="B4" s="10" t="s">
        <v>7</v>
      </c>
      <c r="C4" s="10"/>
      <c r="D4" s="10"/>
      <c r="E4" s="82" t="str">
        <f>IF(E81=0,"OK","CHECK")</f>
        <v>OK</v>
      </c>
      <c r="F4" s="82" t="str">
        <f t="shared" ref="F4:K4" si="0">IF(F81=0,"OK","CHECK")</f>
        <v>OK</v>
      </c>
      <c r="G4" s="82" t="str">
        <f t="shared" si="0"/>
        <v>OK</v>
      </c>
      <c r="H4" s="82" t="str">
        <f t="shared" si="0"/>
        <v>OK</v>
      </c>
      <c r="I4" s="82" t="str">
        <f t="shared" si="0"/>
        <v>OK</v>
      </c>
      <c r="J4" s="82" t="str">
        <f t="shared" si="0"/>
        <v>OK</v>
      </c>
      <c r="K4" s="82" t="str">
        <f t="shared" si="0"/>
        <v>OK</v>
      </c>
      <c r="L4" s="83"/>
      <c r="M4" s="89"/>
      <c r="N4" s="83"/>
      <c r="O4" s="83"/>
    </row>
    <row r="5" spans="2:15" s="2" customFormat="1" x14ac:dyDescent="0.3">
      <c r="B5" s="109" t="s">
        <v>107</v>
      </c>
      <c r="C5" s="110"/>
      <c r="D5" s="109"/>
      <c r="E5" s="110" t="str">
        <f>RR!E5</f>
        <v>R 2024</v>
      </c>
      <c r="F5" s="110" t="str">
        <f>RR!F5</f>
        <v>R 2025</v>
      </c>
      <c r="G5" s="110" t="str">
        <f>RR!G5</f>
        <v>P 2026</v>
      </c>
      <c r="H5" s="110" t="str">
        <f>RR!H5</f>
        <v>P 2027</v>
      </c>
      <c r="I5" s="110" t="str">
        <f>RR!I5</f>
        <v>P 2028</v>
      </c>
      <c r="J5" s="110" t="str">
        <f>RR!J5</f>
        <v>P 2029</v>
      </c>
      <c r="K5" s="110" t="str">
        <f>RR!K5</f>
        <v>P 2030</v>
      </c>
      <c r="L5" s="55"/>
      <c r="M5" s="45"/>
      <c r="N5" s="55"/>
      <c r="O5" s="55"/>
    </row>
    <row r="6" spans="2:15" s="2" customFormat="1" outlineLevel="1" x14ac:dyDescent="0.3">
      <c r="B6" s="45"/>
      <c r="C6" s="45"/>
      <c r="D6" s="45"/>
      <c r="E6" s="57"/>
      <c r="F6" s="57"/>
      <c r="G6" s="57"/>
      <c r="H6" s="57"/>
      <c r="I6" s="57"/>
      <c r="J6" s="57"/>
      <c r="K6" s="57"/>
      <c r="L6" s="53"/>
      <c r="M6" s="45"/>
      <c r="N6" s="53"/>
      <c r="O6" s="53"/>
    </row>
    <row r="7" spans="2:15" s="2" customFormat="1" outlineLevel="1" x14ac:dyDescent="0.3">
      <c r="B7" s="96" t="s">
        <v>64</v>
      </c>
      <c r="C7" s="45"/>
      <c r="D7" s="45"/>
      <c r="E7" s="57"/>
      <c r="F7" s="57"/>
      <c r="G7" s="57"/>
      <c r="H7" s="57"/>
      <c r="I7" s="57"/>
      <c r="J7" s="57"/>
      <c r="K7" s="57"/>
      <c r="L7" s="53"/>
      <c r="M7" s="52" t="s">
        <v>108</v>
      </c>
      <c r="N7" s="53"/>
      <c r="O7" s="53"/>
    </row>
    <row r="8" spans="2:15" outlineLevel="1" x14ac:dyDescent="0.3">
      <c r="B8" s="94" t="s">
        <v>105</v>
      </c>
      <c r="C8" s="43"/>
      <c r="D8" s="43"/>
      <c r="E8" s="101">
        <v>1200</v>
      </c>
      <c r="F8" s="101">
        <v>1200</v>
      </c>
      <c r="G8" s="101">
        <v>1200</v>
      </c>
      <c r="H8" s="101">
        <v>1300</v>
      </c>
      <c r="I8" s="101">
        <v>1400</v>
      </c>
      <c r="J8" s="101">
        <v>1500</v>
      </c>
      <c r="K8" s="101">
        <v>1500</v>
      </c>
      <c r="L8" s="52"/>
      <c r="M8" s="52" t="s">
        <v>67</v>
      </c>
      <c r="N8" s="52"/>
      <c r="O8" s="52"/>
    </row>
    <row r="9" spans="2:15" outlineLevel="1" x14ac:dyDescent="0.3">
      <c r="B9" s="94" t="s">
        <v>68</v>
      </c>
      <c r="C9" s="43"/>
      <c r="D9" s="43"/>
      <c r="E9" s="115">
        <f>(E11*1000)/E8</f>
        <v>416.66666666666669</v>
      </c>
      <c r="F9" s="115">
        <f>(F11*1000)/F8</f>
        <v>437.5</v>
      </c>
      <c r="G9" s="115">
        <f>F9*(1+G10)</f>
        <v>446.25</v>
      </c>
      <c r="H9" s="115">
        <f>G9*(1+H10)</f>
        <v>455.17500000000001</v>
      </c>
      <c r="I9" s="115">
        <f>H9*(1+I10)</f>
        <v>464.27850000000001</v>
      </c>
      <c r="J9" s="115">
        <f>I9*(1+J10)</f>
        <v>473.56407000000002</v>
      </c>
      <c r="K9" s="115">
        <f>J9*(1+K10)</f>
        <v>483.03535140000002</v>
      </c>
      <c r="L9" s="52"/>
      <c r="M9" s="52" t="s">
        <v>69</v>
      </c>
      <c r="N9" s="52"/>
      <c r="O9" s="52"/>
    </row>
    <row r="10" spans="2:15" outlineLevel="1" x14ac:dyDescent="0.3">
      <c r="B10" s="94" t="s">
        <v>65</v>
      </c>
      <c r="C10" s="102">
        <v>0.02</v>
      </c>
      <c r="D10" s="43"/>
      <c r="E10" s="142"/>
      <c r="F10" s="58">
        <f>(F9-E9)/E9</f>
        <v>4.9999999999999954E-2</v>
      </c>
      <c r="G10" s="58">
        <f>$C10</f>
        <v>0.02</v>
      </c>
      <c r="H10" s="58">
        <f t="shared" ref="H10:K10" si="1">$C10</f>
        <v>0.02</v>
      </c>
      <c r="I10" s="58">
        <f t="shared" si="1"/>
        <v>0.02</v>
      </c>
      <c r="J10" s="58">
        <f t="shared" si="1"/>
        <v>0.02</v>
      </c>
      <c r="K10" s="58">
        <f t="shared" si="1"/>
        <v>0.02</v>
      </c>
      <c r="L10" s="52"/>
      <c r="M10" s="52" t="s">
        <v>66</v>
      </c>
      <c r="N10" s="52"/>
      <c r="O10" s="52"/>
    </row>
    <row r="11" spans="2:15" s="2" customFormat="1" outlineLevel="1" x14ac:dyDescent="0.3">
      <c r="B11" s="95" t="s">
        <v>64</v>
      </c>
      <c r="C11" s="45"/>
      <c r="D11" s="45"/>
      <c r="E11" s="126">
        <f>'1. Realisatie RR'!E11</f>
        <v>500</v>
      </c>
      <c r="F11" s="126">
        <f>'1. Realisatie RR'!F11</f>
        <v>525</v>
      </c>
      <c r="G11" s="127">
        <f t="shared" ref="G11:K11" si="2">G8*G9/1000</f>
        <v>535.5</v>
      </c>
      <c r="H11" s="127">
        <f t="shared" si="2"/>
        <v>591.72749999999996</v>
      </c>
      <c r="I11" s="127">
        <f t="shared" si="2"/>
        <v>649.98990000000003</v>
      </c>
      <c r="J11" s="127">
        <f t="shared" si="2"/>
        <v>710.34610499999997</v>
      </c>
      <c r="K11" s="127">
        <f t="shared" si="2"/>
        <v>724.55302710000001</v>
      </c>
      <c r="L11" s="53"/>
      <c r="M11" s="43" t="s">
        <v>10</v>
      </c>
      <c r="N11" s="53"/>
      <c r="O11" s="53"/>
    </row>
    <row r="12" spans="2:15" outlineLevel="1" x14ac:dyDescent="0.3">
      <c r="B12" s="45"/>
      <c r="C12" s="45"/>
      <c r="D12" s="45"/>
      <c r="E12" s="69"/>
      <c r="F12" s="69"/>
      <c r="G12" s="45"/>
      <c r="H12" s="45"/>
      <c r="I12" s="45"/>
      <c r="J12" s="45"/>
      <c r="K12" s="45"/>
      <c r="L12" s="52"/>
      <c r="M12" s="52"/>
      <c r="N12" s="52"/>
      <c r="O12" s="52"/>
    </row>
    <row r="13" spans="2:15" s="4" customFormat="1" outlineLevel="1" x14ac:dyDescent="0.3">
      <c r="B13" s="96" t="s">
        <v>0</v>
      </c>
      <c r="C13" s="52"/>
      <c r="D13" s="52"/>
      <c r="E13" s="63"/>
      <c r="F13" s="63"/>
      <c r="G13" s="66"/>
      <c r="H13" s="66"/>
      <c r="I13" s="66"/>
      <c r="J13" s="66"/>
      <c r="K13" s="66"/>
      <c r="L13" s="52"/>
      <c r="M13" s="52"/>
      <c r="N13" s="52"/>
      <c r="O13" s="52"/>
    </row>
    <row r="14" spans="2:15" s="2" customFormat="1" outlineLevel="1" x14ac:dyDescent="0.3">
      <c r="B14" s="94" t="s">
        <v>126</v>
      </c>
      <c r="C14" s="102">
        <v>0.02</v>
      </c>
      <c r="D14" s="43"/>
      <c r="E14" s="141"/>
      <c r="F14" s="70">
        <f>(F15-E15)/E15</f>
        <v>0.1</v>
      </c>
      <c r="G14" s="48">
        <f>$C14</f>
        <v>0.02</v>
      </c>
      <c r="H14" s="48">
        <f>$C14</f>
        <v>0.02</v>
      </c>
      <c r="I14" s="48">
        <f>$C14</f>
        <v>0.02</v>
      </c>
      <c r="J14" s="48">
        <f>$C14</f>
        <v>0.02</v>
      </c>
      <c r="K14" s="48">
        <f>$C14</f>
        <v>0.02</v>
      </c>
      <c r="L14" s="53"/>
      <c r="M14" s="52" t="s">
        <v>99</v>
      </c>
      <c r="N14" s="53"/>
      <c r="O14" s="53"/>
    </row>
    <row r="15" spans="2:15" outlineLevel="1" x14ac:dyDescent="0.3">
      <c r="B15" s="97" t="s">
        <v>124</v>
      </c>
      <c r="C15" s="43"/>
      <c r="D15" s="43"/>
      <c r="E15" s="115">
        <f>E17-E16</f>
        <v>50</v>
      </c>
      <c r="F15" s="115">
        <f>F17-F16</f>
        <v>55</v>
      </c>
      <c r="G15" s="119">
        <f>F15+(F15*G14)</f>
        <v>56.1</v>
      </c>
      <c r="H15" s="119">
        <f>G15+(G15*H14)</f>
        <v>57.222000000000001</v>
      </c>
      <c r="I15" s="119">
        <f>H15+(H15*I14)</f>
        <v>58.366440000000004</v>
      </c>
      <c r="J15" s="119">
        <f>I15+(I15*J14)</f>
        <v>59.533768800000004</v>
      </c>
      <c r="K15" s="119">
        <f>J15+(J15*K14)</f>
        <v>60.724444176000006</v>
      </c>
      <c r="L15" s="52"/>
      <c r="M15" s="52"/>
      <c r="N15" s="52"/>
      <c r="O15" s="52"/>
    </row>
    <row r="16" spans="2:15" outlineLevel="1" x14ac:dyDescent="0.3">
      <c r="B16" s="97" t="s">
        <v>125</v>
      </c>
      <c r="C16" s="43"/>
      <c r="D16" s="43"/>
      <c r="E16" s="111">
        <v>0</v>
      </c>
      <c r="F16" s="111">
        <v>0</v>
      </c>
      <c r="G16" s="111">
        <v>30</v>
      </c>
      <c r="H16" s="111">
        <v>0</v>
      </c>
      <c r="I16" s="111">
        <v>0</v>
      </c>
      <c r="J16" s="111">
        <v>0</v>
      </c>
      <c r="K16" s="111">
        <v>0</v>
      </c>
      <c r="L16" s="52"/>
      <c r="M16" s="52" t="s">
        <v>67</v>
      </c>
      <c r="N16" s="52"/>
      <c r="O16" s="52"/>
    </row>
    <row r="17" spans="2:15" s="2" customFormat="1" outlineLevel="1" x14ac:dyDescent="0.3">
      <c r="B17" s="95" t="str">
        <f>RR!B8</f>
        <v>Overige opbrengsten</v>
      </c>
      <c r="C17" s="45"/>
      <c r="D17" s="45"/>
      <c r="E17" s="128">
        <f>'1. Realisatie RR'!E12</f>
        <v>50</v>
      </c>
      <c r="F17" s="128">
        <f>'1. Realisatie RR'!F12</f>
        <v>55</v>
      </c>
      <c r="G17" s="114">
        <f>SUM(G15:G16)</f>
        <v>86.1</v>
      </c>
      <c r="H17" s="114">
        <f t="shared" ref="H17:K17" si="3">SUM(H15:H16)</f>
        <v>57.222000000000001</v>
      </c>
      <c r="I17" s="114">
        <f t="shared" si="3"/>
        <v>58.366440000000004</v>
      </c>
      <c r="J17" s="114">
        <f t="shared" si="3"/>
        <v>59.533768800000004</v>
      </c>
      <c r="K17" s="114">
        <f t="shared" si="3"/>
        <v>60.724444176000006</v>
      </c>
      <c r="L17" s="53"/>
      <c r="M17" s="43" t="s">
        <v>10</v>
      </c>
      <c r="N17" s="53"/>
      <c r="O17" s="53"/>
    </row>
    <row r="18" spans="2:15" s="2" customFormat="1" outlineLevel="1" x14ac:dyDescent="0.3">
      <c r="B18" s="43"/>
      <c r="C18" s="48"/>
      <c r="D18" s="43"/>
      <c r="E18" s="70"/>
      <c r="F18" s="70"/>
      <c r="G18" s="48"/>
      <c r="H18" s="48"/>
      <c r="I18" s="48"/>
      <c r="J18" s="48"/>
      <c r="K18" s="48"/>
      <c r="L18" s="45"/>
      <c r="M18" s="43"/>
      <c r="N18" s="45"/>
      <c r="O18" s="45"/>
    </row>
    <row r="19" spans="2:15" s="2" customFormat="1" ht="15" outlineLevel="1" thickBot="1" x14ac:dyDescent="0.35">
      <c r="B19" s="45" t="s">
        <v>1</v>
      </c>
      <c r="C19" s="68"/>
      <c r="D19" s="45"/>
      <c r="E19" s="117">
        <f t="shared" ref="E19:K19" si="4">E11+E17</f>
        <v>550</v>
      </c>
      <c r="F19" s="117">
        <f t="shared" si="4"/>
        <v>580</v>
      </c>
      <c r="G19" s="117">
        <f t="shared" si="4"/>
        <v>621.6</v>
      </c>
      <c r="H19" s="117">
        <f t="shared" si="4"/>
        <v>648.94949999999994</v>
      </c>
      <c r="I19" s="117">
        <f t="shared" si="4"/>
        <v>708.35634000000005</v>
      </c>
      <c r="J19" s="117">
        <f t="shared" si="4"/>
        <v>769.87987379999993</v>
      </c>
      <c r="K19" s="117">
        <f t="shared" si="4"/>
        <v>785.27747127600003</v>
      </c>
      <c r="L19" s="45"/>
      <c r="N19" s="45"/>
      <c r="O19" s="45"/>
    </row>
    <row r="20" spans="2:15" s="2" customFormat="1" ht="15" thickTop="1" x14ac:dyDescent="0.3">
      <c r="B20" s="43"/>
      <c r="C20" s="48"/>
      <c r="D20" s="43"/>
      <c r="E20" s="67"/>
      <c r="F20" s="67"/>
      <c r="G20" s="48"/>
      <c r="H20" s="48"/>
      <c r="I20" s="48"/>
      <c r="J20" s="48"/>
      <c r="K20" s="48"/>
      <c r="L20" s="45"/>
      <c r="M20" s="43"/>
      <c r="N20" s="45"/>
      <c r="O20" s="45"/>
    </row>
    <row r="21" spans="2:15" s="2" customFormat="1" x14ac:dyDescent="0.3">
      <c r="B21" s="109" t="s">
        <v>3</v>
      </c>
      <c r="C21" s="110"/>
      <c r="D21" s="109"/>
      <c r="E21" s="110" t="str">
        <f t="shared" ref="E21:K21" si="5">E5</f>
        <v>R 2024</v>
      </c>
      <c r="F21" s="110" t="str">
        <f t="shared" si="5"/>
        <v>R 2025</v>
      </c>
      <c r="G21" s="110" t="str">
        <f t="shared" si="5"/>
        <v>P 2026</v>
      </c>
      <c r="H21" s="110" t="str">
        <f t="shared" si="5"/>
        <v>P 2027</v>
      </c>
      <c r="I21" s="110" t="str">
        <f t="shared" si="5"/>
        <v>P 2028</v>
      </c>
      <c r="J21" s="110" t="str">
        <f t="shared" si="5"/>
        <v>P 2029</v>
      </c>
      <c r="K21" s="110" t="str">
        <f t="shared" si="5"/>
        <v>P 2030</v>
      </c>
      <c r="L21" s="55"/>
      <c r="M21" s="55"/>
      <c r="N21" s="55"/>
      <c r="O21" s="55"/>
    </row>
    <row r="22" spans="2:15" s="14" customFormat="1" outlineLevel="1" x14ac:dyDescent="0.3">
      <c r="B22" s="59"/>
      <c r="C22" s="59"/>
      <c r="D22" s="59"/>
      <c r="E22" s="60"/>
      <c r="F22" s="60"/>
      <c r="G22" s="60"/>
      <c r="H22" s="60"/>
      <c r="I22" s="60"/>
      <c r="J22" s="60"/>
      <c r="K22" s="60"/>
      <c r="L22" s="59"/>
      <c r="M22" s="59"/>
      <c r="N22" s="59"/>
      <c r="O22" s="59"/>
    </row>
    <row r="23" spans="2:15" s="14" customFormat="1" outlineLevel="1" x14ac:dyDescent="0.3">
      <c r="B23" s="98" t="s">
        <v>71</v>
      </c>
      <c r="C23" s="59"/>
      <c r="D23" s="59"/>
      <c r="E23" s="60"/>
      <c r="F23" s="60"/>
      <c r="G23" s="60"/>
      <c r="H23" s="60"/>
      <c r="I23" s="60"/>
      <c r="J23" s="60"/>
      <c r="K23" s="60"/>
      <c r="L23" s="59"/>
      <c r="M23" s="43" t="s">
        <v>142</v>
      </c>
      <c r="N23" s="59"/>
      <c r="O23" s="59"/>
    </row>
    <row r="24" spans="2:15" s="2" customFormat="1" outlineLevel="1" x14ac:dyDescent="0.3">
      <c r="B24" s="94" t="s">
        <v>72</v>
      </c>
      <c r="C24" s="45"/>
      <c r="D24" s="45"/>
      <c r="E24" s="103">
        <v>5</v>
      </c>
      <c r="F24" s="103">
        <v>5</v>
      </c>
      <c r="G24" s="103">
        <v>6</v>
      </c>
      <c r="H24" s="103">
        <v>6</v>
      </c>
      <c r="I24" s="103">
        <v>6</v>
      </c>
      <c r="J24" s="103">
        <v>6</v>
      </c>
      <c r="K24" s="103">
        <v>7</v>
      </c>
      <c r="L24" s="53"/>
      <c r="M24" s="52" t="s">
        <v>97</v>
      </c>
      <c r="N24" s="45"/>
      <c r="O24" s="45"/>
    </row>
    <row r="25" spans="2:15" outlineLevel="1" x14ac:dyDescent="0.3">
      <c r="B25" s="94" t="s">
        <v>140</v>
      </c>
      <c r="C25" s="102">
        <v>0.02</v>
      </c>
      <c r="D25" s="43"/>
      <c r="E25" s="143"/>
      <c r="F25" s="71">
        <f>F26/E26-100%</f>
        <v>0</v>
      </c>
      <c r="G25" s="61">
        <f>$C25</f>
        <v>0.02</v>
      </c>
      <c r="H25" s="61">
        <f t="shared" ref="H25:K25" si="6">$C25</f>
        <v>0.02</v>
      </c>
      <c r="I25" s="61">
        <f t="shared" si="6"/>
        <v>0.02</v>
      </c>
      <c r="J25" s="61">
        <f t="shared" si="6"/>
        <v>0.02</v>
      </c>
      <c r="K25" s="61">
        <f t="shared" si="6"/>
        <v>0.02</v>
      </c>
      <c r="L25" s="52"/>
      <c r="M25" s="52" t="s">
        <v>15</v>
      </c>
      <c r="N25" s="43"/>
      <c r="O25" s="43"/>
    </row>
    <row r="26" spans="2:15" outlineLevel="1" x14ac:dyDescent="0.3">
      <c r="B26" s="94" t="s">
        <v>141</v>
      </c>
      <c r="C26" s="43"/>
      <c r="D26" s="43"/>
      <c r="E26" s="115">
        <f>E27/E24</f>
        <v>-59</v>
      </c>
      <c r="F26" s="115">
        <f>F27/F24</f>
        <v>-59</v>
      </c>
      <c r="G26" s="115">
        <f>F26*(1+G25)</f>
        <v>-60.18</v>
      </c>
      <c r="H26" s="115">
        <f t="shared" ref="H26:K26" si="7">G26*(1+H25)</f>
        <v>-61.383600000000001</v>
      </c>
      <c r="I26" s="115">
        <f t="shared" si="7"/>
        <v>-62.611272</v>
      </c>
      <c r="J26" s="115">
        <f t="shared" si="7"/>
        <v>-63.863497440000003</v>
      </c>
      <c r="K26" s="115">
        <f t="shared" si="7"/>
        <v>-65.140767388800001</v>
      </c>
      <c r="L26" s="52"/>
      <c r="M26" s="52" t="s">
        <v>143</v>
      </c>
      <c r="N26" s="43"/>
      <c r="O26" s="43"/>
    </row>
    <row r="27" spans="2:15" s="2" customFormat="1" outlineLevel="1" x14ac:dyDescent="0.3">
      <c r="B27" s="95" t="s">
        <v>163</v>
      </c>
      <c r="C27" s="45"/>
      <c r="D27" s="45"/>
      <c r="E27" s="114">
        <f>E30-E29</f>
        <v>-295</v>
      </c>
      <c r="F27" s="114">
        <f>F30-F29</f>
        <v>-295</v>
      </c>
      <c r="G27" s="114">
        <f>G24*G26</f>
        <v>-361.08</v>
      </c>
      <c r="H27" s="114">
        <f>H24*H26</f>
        <v>-368.30160000000001</v>
      </c>
      <c r="I27" s="114">
        <f>I24*I26</f>
        <v>-375.66763200000003</v>
      </c>
      <c r="J27" s="114">
        <f>J24*J26</f>
        <v>-383.18098464000002</v>
      </c>
      <c r="K27" s="114">
        <f>K24*K26</f>
        <v>-455.98537172160002</v>
      </c>
      <c r="L27" s="53"/>
      <c r="M27" s="52" t="s">
        <v>144</v>
      </c>
      <c r="N27" s="45"/>
      <c r="O27" s="45"/>
    </row>
    <row r="28" spans="2:15" outlineLevel="1" x14ac:dyDescent="0.3">
      <c r="B28" s="43"/>
      <c r="C28" s="43"/>
      <c r="D28" s="43"/>
      <c r="E28" s="115"/>
      <c r="F28" s="115"/>
      <c r="G28" s="115"/>
      <c r="H28" s="115"/>
      <c r="I28" s="115"/>
      <c r="J28" s="115"/>
      <c r="K28" s="115"/>
      <c r="L28" s="52"/>
      <c r="M28" s="52"/>
      <c r="N28" s="43"/>
      <c r="O28" s="43"/>
    </row>
    <row r="29" spans="2:15" s="35" customFormat="1" outlineLevel="1" x14ac:dyDescent="0.3">
      <c r="B29" s="62" t="s">
        <v>109</v>
      </c>
      <c r="C29" s="62"/>
      <c r="D29" s="62"/>
      <c r="E29" s="111">
        <v>-5</v>
      </c>
      <c r="F29" s="111">
        <v>-20</v>
      </c>
      <c r="G29" s="111">
        <v>-10</v>
      </c>
      <c r="H29" s="111">
        <v>-7</v>
      </c>
      <c r="I29" s="111">
        <v>-7</v>
      </c>
      <c r="J29" s="111">
        <v>-7</v>
      </c>
      <c r="K29" s="111">
        <v>-7</v>
      </c>
      <c r="L29" s="59"/>
      <c r="M29" s="76" t="s">
        <v>145</v>
      </c>
      <c r="N29" s="69"/>
      <c r="O29" s="69"/>
    </row>
    <row r="30" spans="2:15" s="35" customFormat="1" outlineLevel="1" x14ac:dyDescent="0.3">
      <c r="B30" s="69" t="str">
        <f>RR!B11</f>
        <v>Personeelskosten</v>
      </c>
      <c r="C30" s="69"/>
      <c r="D30" s="69"/>
      <c r="E30" s="129">
        <f>'1. Realisatie RR'!E15</f>
        <v>-300</v>
      </c>
      <c r="F30" s="129">
        <f>'1. Realisatie RR'!F15</f>
        <v>-315</v>
      </c>
      <c r="G30" s="116">
        <f>SUM(G27:G29)</f>
        <v>-371.08</v>
      </c>
      <c r="H30" s="116">
        <f t="shared" ref="H30:K30" si="8">SUM(H27:H29)</f>
        <v>-375.30160000000001</v>
      </c>
      <c r="I30" s="116">
        <f t="shared" si="8"/>
        <v>-382.66763200000003</v>
      </c>
      <c r="J30" s="116">
        <f t="shared" si="8"/>
        <v>-390.18098464000002</v>
      </c>
      <c r="K30" s="116">
        <f t="shared" si="8"/>
        <v>-462.98537172160002</v>
      </c>
      <c r="L30" s="59"/>
      <c r="M30" s="76" t="s">
        <v>10</v>
      </c>
      <c r="N30" s="69"/>
      <c r="O30" s="69"/>
    </row>
    <row r="31" spans="2:15" x14ac:dyDescent="0.3">
      <c r="B31" s="43"/>
      <c r="C31" s="43"/>
      <c r="D31" s="43"/>
      <c r="E31" s="56"/>
      <c r="F31" s="56"/>
      <c r="G31" s="56"/>
      <c r="H31" s="56"/>
      <c r="I31" s="56"/>
      <c r="J31" s="56"/>
      <c r="K31" s="56"/>
      <c r="L31" s="52"/>
      <c r="M31" s="52"/>
      <c r="N31" s="43"/>
      <c r="O31" s="43"/>
    </row>
    <row r="32" spans="2:15" s="2" customFormat="1" x14ac:dyDescent="0.3">
      <c r="B32" s="109" t="s">
        <v>167</v>
      </c>
      <c r="C32" s="110"/>
      <c r="D32" s="109"/>
      <c r="E32" s="110" t="str">
        <f t="shared" ref="E32:K32" si="9">E5</f>
        <v>R 2024</v>
      </c>
      <c r="F32" s="110" t="str">
        <f t="shared" si="9"/>
        <v>R 2025</v>
      </c>
      <c r="G32" s="110" t="str">
        <f t="shared" si="9"/>
        <v>P 2026</v>
      </c>
      <c r="H32" s="110" t="str">
        <f t="shared" si="9"/>
        <v>P 2027</v>
      </c>
      <c r="I32" s="110" t="str">
        <f t="shared" si="9"/>
        <v>P 2028</v>
      </c>
      <c r="J32" s="110" t="str">
        <f t="shared" si="9"/>
        <v>P 2029</v>
      </c>
      <c r="K32" s="110" t="str">
        <f t="shared" si="9"/>
        <v>P 2030</v>
      </c>
      <c r="L32" s="55"/>
      <c r="M32" s="55"/>
      <c r="N32" s="55"/>
      <c r="O32" s="55"/>
    </row>
    <row r="33" spans="2:15" s="14" customFormat="1" outlineLevel="1" x14ac:dyDescent="0.3">
      <c r="B33" s="59"/>
      <c r="C33" s="59"/>
      <c r="D33" s="59"/>
      <c r="E33" s="60"/>
      <c r="F33" s="60"/>
      <c r="G33" s="60"/>
      <c r="H33" s="60"/>
      <c r="I33" s="60"/>
      <c r="J33" s="60"/>
      <c r="K33" s="60"/>
      <c r="L33" s="59"/>
      <c r="M33" s="59"/>
      <c r="N33" s="59"/>
      <c r="O33" s="59"/>
    </row>
    <row r="34" spans="2:15" outlineLevel="1" x14ac:dyDescent="0.3">
      <c r="B34" s="45" t="s">
        <v>74</v>
      </c>
      <c r="C34" s="45"/>
      <c r="D34" s="45"/>
      <c r="E34" s="129">
        <f>'1. Realisatie RR'!E16</f>
        <v>-10</v>
      </c>
      <c r="F34" s="129">
        <f>'1. Realisatie RR'!F16</f>
        <v>-11</v>
      </c>
      <c r="G34" s="111">
        <v>-10</v>
      </c>
      <c r="H34" s="111">
        <v>-7</v>
      </c>
      <c r="I34" s="111">
        <v>-7</v>
      </c>
      <c r="J34" s="111">
        <v>-7</v>
      </c>
      <c r="K34" s="111">
        <v>-7</v>
      </c>
      <c r="L34" s="52"/>
      <c r="M34" s="52" t="s">
        <v>189</v>
      </c>
      <c r="N34" s="43"/>
      <c r="O34" s="43"/>
    </row>
    <row r="35" spans="2:15" outlineLevel="1" x14ac:dyDescent="0.3">
      <c r="B35" s="43"/>
      <c r="C35" s="43"/>
      <c r="D35" s="43"/>
      <c r="E35" s="56"/>
      <c r="F35" s="56"/>
      <c r="G35" s="56"/>
      <c r="H35" s="56"/>
      <c r="I35" s="56"/>
      <c r="J35" s="56"/>
      <c r="K35" s="56"/>
      <c r="L35" s="52"/>
      <c r="M35" s="52" t="s">
        <v>190</v>
      </c>
      <c r="N35" s="43"/>
      <c r="O35" s="43"/>
    </row>
    <row r="36" spans="2:15" outlineLevel="1" x14ac:dyDescent="0.3">
      <c r="B36" s="43" t="s">
        <v>164</v>
      </c>
      <c r="C36" s="43"/>
      <c r="D36" s="43"/>
      <c r="E36" s="130">
        <f>'1. Realisatie RR'!E17</f>
        <v>-140</v>
      </c>
      <c r="F36" s="130">
        <f>'1. Realisatie RR'!F17</f>
        <v>-150</v>
      </c>
      <c r="G36" s="119">
        <f>F36+(F36*G37)</f>
        <v>-153</v>
      </c>
      <c r="H36" s="119">
        <f>G36+(G36*H37)</f>
        <v>-156.06</v>
      </c>
      <c r="I36" s="119">
        <f>H36+(H36*I37)</f>
        <v>-159.18119999999999</v>
      </c>
      <c r="J36" s="119">
        <f>I36+(I36*J37)</f>
        <v>-162.364824</v>
      </c>
      <c r="K36" s="119">
        <f>J36+(J36*K37)</f>
        <v>-165.61212047999999</v>
      </c>
      <c r="L36" s="52"/>
      <c r="M36" s="52"/>
      <c r="N36" s="43"/>
      <c r="O36" s="43"/>
    </row>
    <row r="37" spans="2:15" outlineLevel="1" x14ac:dyDescent="0.3">
      <c r="B37" s="43" t="s">
        <v>70</v>
      </c>
      <c r="C37" s="102">
        <v>0.02</v>
      </c>
      <c r="D37" s="43"/>
      <c r="E37" s="141"/>
      <c r="F37" s="70">
        <f>(F36-E36)/E36</f>
        <v>7.1428571428571425E-2</v>
      </c>
      <c r="G37" s="48">
        <f>$C37</f>
        <v>0.02</v>
      </c>
      <c r="H37" s="48">
        <f>$C37</f>
        <v>0.02</v>
      </c>
      <c r="I37" s="48">
        <f>$C37</f>
        <v>0.02</v>
      </c>
      <c r="J37" s="48">
        <f>$C37</f>
        <v>0.02</v>
      </c>
      <c r="K37" s="48">
        <f>$C37</f>
        <v>0.02</v>
      </c>
      <c r="L37" s="52"/>
      <c r="M37" s="52"/>
      <c r="N37" s="43"/>
      <c r="O37" s="43"/>
    </row>
    <row r="38" spans="2:15" outlineLevel="1" x14ac:dyDescent="0.3">
      <c r="B38" s="43" t="s">
        <v>165</v>
      </c>
      <c r="C38" s="44"/>
      <c r="D38" s="44"/>
      <c r="E38" s="139"/>
      <c r="F38" s="139"/>
      <c r="G38" s="131"/>
      <c r="H38" s="131">
        <v>-25</v>
      </c>
      <c r="I38" s="131">
        <v>-25</v>
      </c>
      <c r="J38" s="131">
        <v>-26</v>
      </c>
      <c r="K38" s="131">
        <v>-20</v>
      </c>
      <c r="L38" s="52"/>
      <c r="M38" s="52"/>
      <c r="N38" s="43"/>
      <c r="O38" s="43"/>
    </row>
    <row r="39" spans="2:15" outlineLevel="1" x14ac:dyDescent="0.3">
      <c r="B39" s="45" t="s">
        <v>156</v>
      </c>
      <c r="C39" s="46"/>
      <c r="D39" s="46"/>
      <c r="E39" s="114">
        <f>E36+E38</f>
        <v>-140</v>
      </c>
      <c r="F39" s="114">
        <f t="shared" ref="F39:K39" si="10">F36+F38</f>
        <v>-150</v>
      </c>
      <c r="G39" s="114">
        <f t="shared" si="10"/>
        <v>-153</v>
      </c>
      <c r="H39" s="114">
        <f t="shared" si="10"/>
        <v>-181.06</v>
      </c>
      <c r="I39" s="114">
        <f t="shared" si="10"/>
        <v>-184.18119999999999</v>
      </c>
      <c r="J39" s="114">
        <f t="shared" si="10"/>
        <v>-188.364824</v>
      </c>
      <c r="K39" s="114">
        <f t="shared" si="10"/>
        <v>-185.61212047999999</v>
      </c>
      <c r="L39" s="52"/>
      <c r="M39" s="52" t="s">
        <v>10</v>
      </c>
      <c r="N39" s="43"/>
      <c r="O39" s="43"/>
    </row>
    <row r="40" spans="2:15" outlineLevel="1" x14ac:dyDescent="0.3">
      <c r="B40" s="43"/>
      <c r="C40" s="43"/>
      <c r="D40" s="43"/>
      <c r="E40" s="115"/>
      <c r="F40" s="115"/>
      <c r="G40" s="115"/>
      <c r="H40" s="115"/>
      <c r="I40" s="115"/>
      <c r="J40" s="115"/>
      <c r="K40" s="115"/>
      <c r="L40" s="52"/>
      <c r="M40" s="52"/>
      <c r="N40" s="43"/>
      <c r="O40" s="43"/>
    </row>
    <row r="41" spans="2:15" outlineLevel="1" x14ac:dyDescent="0.3">
      <c r="B41" s="43" t="s">
        <v>169</v>
      </c>
      <c r="C41" s="45"/>
      <c r="D41" s="45"/>
      <c r="E41" s="129">
        <f>'1. Realisatie RR'!E18</f>
        <v>-25</v>
      </c>
      <c r="F41" s="129">
        <f>'1. Realisatie RR'!F18</f>
        <v>-26</v>
      </c>
      <c r="G41" s="121">
        <f>G42*G11</f>
        <v>-26.775000000000002</v>
      </c>
      <c r="H41" s="121">
        <f>H42*H11</f>
        <v>-29.586375</v>
      </c>
      <c r="I41" s="121">
        <f>I42*I11</f>
        <v>-32.499495000000003</v>
      </c>
      <c r="J41" s="121">
        <f>J42*J11</f>
        <v>-35.51730525</v>
      </c>
      <c r="K41" s="121">
        <f>K42*K11</f>
        <v>-36.227651354999999</v>
      </c>
      <c r="L41" s="52"/>
      <c r="M41" s="52" t="s">
        <v>10</v>
      </c>
      <c r="N41" s="43"/>
      <c r="O41" s="43"/>
    </row>
    <row r="42" spans="2:15" outlineLevel="1" x14ac:dyDescent="0.3">
      <c r="B42" s="43" t="s">
        <v>73</v>
      </c>
      <c r="C42" s="102">
        <v>-0.05</v>
      </c>
      <c r="D42" s="43"/>
      <c r="E42" s="70">
        <f>E41/E11</f>
        <v>-0.05</v>
      </c>
      <c r="F42" s="70">
        <f>F41/F11</f>
        <v>-4.9523809523809526E-2</v>
      </c>
      <c r="G42" s="48">
        <f>$C42</f>
        <v>-0.05</v>
      </c>
      <c r="H42" s="48">
        <f t="shared" ref="H42:K42" si="11">$C42</f>
        <v>-0.05</v>
      </c>
      <c r="I42" s="48">
        <f t="shared" si="11"/>
        <v>-0.05</v>
      </c>
      <c r="J42" s="48">
        <f t="shared" si="11"/>
        <v>-0.05</v>
      </c>
      <c r="K42" s="48">
        <f t="shared" si="11"/>
        <v>-0.05</v>
      </c>
      <c r="L42" s="52"/>
      <c r="M42" s="52" t="s">
        <v>100</v>
      </c>
      <c r="N42" s="43"/>
      <c r="O42" s="43"/>
    </row>
    <row r="43" spans="2:15" outlineLevel="1" x14ac:dyDescent="0.3">
      <c r="B43" s="43" t="s">
        <v>166</v>
      </c>
      <c r="C43" s="44"/>
      <c r="D43" s="44"/>
      <c r="E43" s="139"/>
      <c r="F43" s="139"/>
      <c r="G43" s="131"/>
      <c r="H43" s="131">
        <v>-25</v>
      </c>
      <c r="I43" s="131">
        <v>-25</v>
      </c>
      <c r="J43" s="131">
        <v>-26</v>
      </c>
      <c r="K43" s="131">
        <v>-20</v>
      </c>
      <c r="L43" s="52"/>
      <c r="M43" s="52"/>
      <c r="N43" s="43"/>
      <c r="O43" s="43"/>
    </row>
    <row r="44" spans="2:15" outlineLevel="1" x14ac:dyDescent="0.3">
      <c r="B44" s="45" t="s">
        <v>158</v>
      </c>
      <c r="C44" s="46"/>
      <c r="D44" s="46"/>
      <c r="E44" s="114">
        <f>E41+E43</f>
        <v>-25</v>
      </c>
      <c r="F44" s="114">
        <f t="shared" ref="F44:K44" si="12">F41+F43</f>
        <v>-26</v>
      </c>
      <c r="G44" s="114">
        <f t="shared" si="12"/>
        <v>-26.775000000000002</v>
      </c>
      <c r="H44" s="114">
        <f t="shared" si="12"/>
        <v>-54.586375000000004</v>
      </c>
      <c r="I44" s="114">
        <f t="shared" si="12"/>
        <v>-57.499495000000003</v>
      </c>
      <c r="J44" s="114">
        <f t="shared" si="12"/>
        <v>-61.51730525</v>
      </c>
      <c r="K44" s="114">
        <f t="shared" si="12"/>
        <v>-56.227651354999999</v>
      </c>
      <c r="L44" s="52"/>
      <c r="M44" s="52" t="s">
        <v>10</v>
      </c>
      <c r="N44" s="43"/>
      <c r="O44" s="43"/>
    </row>
    <row r="45" spans="2:15" outlineLevel="1" x14ac:dyDescent="0.3">
      <c r="B45" s="43"/>
      <c r="C45" s="43"/>
      <c r="D45" s="43"/>
      <c r="E45" s="56"/>
      <c r="F45" s="56"/>
      <c r="G45" s="56"/>
      <c r="H45" s="56"/>
      <c r="I45" s="56"/>
      <c r="J45" s="56"/>
      <c r="K45" s="56"/>
      <c r="L45" s="52"/>
      <c r="M45" s="52"/>
      <c r="N45" s="43"/>
      <c r="O45" s="43"/>
    </row>
    <row r="46" spans="2:15" outlineLevel="1" x14ac:dyDescent="0.3">
      <c r="B46" s="45" t="s">
        <v>167</v>
      </c>
      <c r="C46" s="43"/>
      <c r="D46" s="43"/>
      <c r="E46" s="114">
        <f>E34+E39+E44</f>
        <v>-175</v>
      </c>
      <c r="F46" s="114">
        <f t="shared" ref="F46:K46" si="13">F34+F39+F44</f>
        <v>-187</v>
      </c>
      <c r="G46" s="114">
        <f t="shared" si="13"/>
        <v>-189.77500000000001</v>
      </c>
      <c r="H46" s="114">
        <f t="shared" si="13"/>
        <v>-242.64637500000001</v>
      </c>
      <c r="I46" s="114">
        <f t="shared" si="13"/>
        <v>-248.68069499999999</v>
      </c>
      <c r="J46" s="114">
        <f t="shared" si="13"/>
        <v>-256.88212924999999</v>
      </c>
      <c r="K46" s="114">
        <f t="shared" si="13"/>
        <v>-248.83977183499999</v>
      </c>
      <c r="L46" s="52"/>
      <c r="M46" s="52"/>
      <c r="N46" s="43"/>
      <c r="O46" s="43"/>
    </row>
    <row r="47" spans="2:15" ht="15" outlineLevel="1" thickBot="1" x14ac:dyDescent="0.35">
      <c r="B47" s="45" t="s">
        <v>168</v>
      </c>
      <c r="C47" s="43"/>
      <c r="D47" s="43"/>
      <c r="E47" s="117">
        <f>E30+E46</f>
        <v>-475</v>
      </c>
      <c r="F47" s="117">
        <f t="shared" ref="F47:K47" si="14">F30+F46</f>
        <v>-502</v>
      </c>
      <c r="G47" s="117">
        <f t="shared" si="14"/>
        <v>-560.85500000000002</v>
      </c>
      <c r="H47" s="117">
        <f t="shared" si="14"/>
        <v>-617.94797500000004</v>
      </c>
      <c r="I47" s="117">
        <f t="shared" si="14"/>
        <v>-631.34832700000004</v>
      </c>
      <c r="J47" s="117">
        <f t="shared" si="14"/>
        <v>-647.06311389000007</v>
      </c>
      <c r="K47" s="117">
        <f t="shared" si="14"/>
        <v>-711.82514355659998</v>
      </c>
      <c r="L47" s="52"/>
      <c r="M47" s="52"/>
      <c r="N47" s="43"/>
      <c r="O47" s="43"/>
    </row>
    <row r="48" spans="2:15" ht="15" outlineLevel="1" thickTop="1" x14ac:dyDescent="0.3">
      <c r="B48" s="43"/>
      <c r="C48" s="43"/>
      <c r="D48" s="43"/>
      <c r="E48" s="56"/>
      <c r="F48" s="56"/>
      <c r="G48" s="56"/>
      <c r="H48" s="56"/>
      <c r="I48" s="56"/>
      <c r="J48" s="56"/>
      <c r="K48" s="56"/>
      <c r="L48" s="52"/>
      <c r="M48" s="52"/>
      <c r="N48" s="43"/>
      <c r="O48" s="43"/>
    </row>
    <row r="49" spans="2:15" ht="15" outlineLevel="1" thickBot="1" x14ac:dyDescent="0.35">
      <c r="B49" s="45" t="s">
        <v>160</v>
      </c>
      <c r="C49" s="43"/>
      <c r="D49" s="43"/>
      <c r="E49" s="117">
        <f>E19+E47</f>
        <v>75</v>
      </c>
      <c r="F49" s="117">
        <f t="shared" ref="F49:K49" si="15">F19+F47</f>
        <v>78</v>
      </c>
      <c r="G49" s="117">
        <f t="shared" si="15"/>
        <v>60.745000000000005</v>
      </c>
      <c r="H49" s="117">
        <f t="shared" si="15"/>
        <v>31.001524999999901</v>
      </c>
      <c r="I49" s="117">
        <f t="shared" si="15"/>
        <v>77.008013000000005</v>
      </c>
      <c r="J49" s="117">
        <f t="shared" si="15"/>
        <v>122.81675990999986</v>
      </c>
      <c r="K49" s="117">
        <f t="shared" si="15"/>
        <v>73.452327719400046</v>
      </c>
      <c r="L49" s="52"/>
      <c r="M49" s="52" t="s">
        <v>101</v>
      </c>
      <c r="N49" s="43"/>
      <c r="O49" s="43"/>
    </row>
    <row r="50" spans="2:15" ht="15" thickTop="1" x14ac:dyDescent="0.3">
      <c r="B50" s="43"/>
      <c r="C50" s="43"/>
      <c r="D50" s="43"/>
      <c r="E50" s="62"/>
      <c r="F50" s="62"/>
      <c r="G50" s="62"/>
      <c r="H50" s="62"/>
      <c r="I50" s="62"/>
      <c r="J50" s="62"/>
      <c r="K50" s="62"/>
      <c r="L50" s="52"/>
      <c r="M50" s="52"/>
      <c r="N50" s="43"/>
      <c r="O50" s="43"/>
    </row>
    <row r="51" spans="2:15" s="2" customFormat="1" x14ac:dyDescent="0.3">
      <c r="B51" s="109" t="s">
        <v>76</v>
      </c>
      <c r="C51" s="110"/>
      <c r="D51" s="109"/>
      <c r="E51" s="110" t="str">
        <f t="shared" ref="E51:K51" si="16">E5</f>
        <v>R 2024</v>
      </c>
      <c r="F51" s="110" t="str">
        <f t="shared" si="16"/>
        <v>R 2025</v>
      </c>
      <c r="G51" s="110" t="str">
        <f t="shared" si="16"/>
        <v>P 2026</v>
      </c>
      <c r="H51" s="110" t="str">
        <f t="shared" si="16"/>
        <v>P 2027</v>
      </c>
      <c r="I51" s="110" t="str">
        <f t="shared" si="16"/>
        <v>P 2028</v>
      </c>
      <c r="J51" s="110" t="str">
        <f t="shared" si="16"/>
        <v>P 2029</v>
      </c>
      <c r="K51" s="110" t="str">
        <f t="shared" si="16"/>
        <v>P 2030</v>
      </c>
      <c r="L51" s="55"/>
      <c r="M51" s="55"/>
      <c r="N51" s="55"/>
      <c r="O51" s="55"/>
    </row>
    <row r="52" spans="2:15" s="2" customFormat="1" outlineLevel="1" x14ac:dyDescent="0.3">
      <c r="B52" s="45"/>
      <c r="C52" s="45"/>
      <c r="D52" s="45"/>
      <c r="E52" s="57"/>
      <c r="F52" s="57"/>
      <c r="G52" s="57"/>
      <c r="H52" s="57"/>
      <c r="I52" s="57"/>
      <c r="J52" s="57"/>
      <c r="K52" s="57"/>
      <c r="L52" s="53"/>
      <c r="M52" s="55"/>
      <c r="N52" s="55"/>
      <c r="O52" s="55"/>
    </row>
    <row r="53" spans="2:15" outlineLevel="1" x14ac:dyDescent="0.3">
      <c r="B53" s="45" t="str">
        <f>'1. Realisatie RR'!B23</f>
        <v>Niet-operationele baten/lasten</v>
      </c>
      <c r="C53" s="45"/>
      <c r="D53" s="45"/>
      <c r="E53" s="129">
        <f>'1. Realisatie RR'!E23</f>
        <v>0</v>
      </c>
      <c r="F53" s="129">
        <f>'1. Realisatie RR'!F23</f>
        <v>-10</v>
      </c>
      <c r="G53" s="132">
        <v>0</v>
      </c>
      <c r="H53" s="132">
        <v>40</v>
      </c>
      <c r="I53" s="132">
        <v>0</v>
      </c>
      <c r="J53" s="132">
        <v>0</v>
      </c>
      <c r="K53" s="132">
        <v>0</v>
      </c>
      <c r="L53" s="43"/>
      <c r="M53" s="43" t="s">
        <v>191</v>
      </c>
      <c r="N53" s="43"/>
      <c r="O53" s="43"/>
    </row>
    <row r="54" spans="2:15" outlineLevel="1" x14ac:dyDescent="0.3">
      <c r="B54" s="43"/>
      <c r="C54" s="43"/>
      <c r="D54" s="43"/>
      <c r="E54" s="115"/>
      <c r="F54" s="115"/>
      <c r="G54" s="115"/>
      <c r="H54" s="115"/>
      <c r="I54" s="115"/>
      <c r="J54" s="115"/>
      <c r="K54" s="115"/>
      <c r="L54" s="43"/>
      <c r="M54" s="43"/>
      <c r="N54" s="43"/>
      <c r="O54" s="43"/>
    </row>
    <row r="55" spans="2:15" outlineLevel="1" x14ac:dyDescent="0.3">
      <c r="B55" s="45" t="str">
        <f>RR!B20</f>
        <v>Verkoopresultaat vaste activa</v>
      </c>
      <c r="C55" s="43"/>
      <c r="D55" s="43"/>
      <c r="E55" s="129">
        <f>'1. Realisatie RR'!E24</f>
        <v>0</v>
      </c>
      <c r="F55" s="129">
        <f>'1. Realisatie RR'!F24</f>
        <v>14</v>
      </c>
      <c r="G55" s="132">
        <v>2</v>
      </c>
      <c r="H55" s="132">
        <v>2</v>
      </c>
      <c r="I55" s="132">
        <v>2</v>
      </c>
      <c r="J55" s="132">
        <v>2</v>
      </c>
      <c r="K55" s="132">
        <v>2</v>
      </c>
      <c r="L55" s="43"/>
      <c r="M55" s="52" t="s">
        <v>10</v>
      </c>
      <c r="N55" s="43"/>
      <c r="O55" s="43"/>
    </row>
    <row r="56" spans="2:15" outlineLevel="1" x14ac:dyDescent="0.3">
      <c r="B56" s="43"/>
      <c r="C56" s="43"/>
      <c r="D56" s="43"/>
      <c r="E56" s="115"/>
      <c r="F56" s="115"/>
      <c r="G56" s="115"/>
      <c r="H56" s="115"/>
      <c r="I56" s="115"/>
      <c r="J56" s="115"/>
      <c r="K56" s="115"/>
      <c r="L56" s="43"/>
      <c r="M56" s="43"/>
      <c r="N56" s="43"/>
      <c r="O56" s="43"/>
    </row>
    <row r="57" spans="2:15" outlineLevel="1" x14ac:dyDescent="0.3">
      <c r="B57" s="45" t="str">
        <f>RR!B21</f>
        <v>Financiële baten</v>
      </c>
      <c r="C57" s="43"/>
      <c r="D57" s="43"/>
      <c r="E57" s="129">
        <f>'1. Realisatie RR'!E25</f>
        <v>1</v>
      </c>
      <c r="F57" s="129">
        <f>'1. Realisatie RR'!F25</f>
        <v>2</v>
      </c>
      <c r="G57" s="132">
        <v>2</v>
      </c>
      <c r="H57" s="132">
        <v>2</v>
      </c>
      <c r="I57" s="132">
        <v>2</v>
      </c>
      <c r="J57" s="132">
        <v>2</v>
      </c>
      <c r="K57" s="132">
        <v>2</v>
      </c>
      <c r="L57" s="56"/>
      <c r="M57" s="43" t="s">
        <v>10</v>
      </c>
      <c r="N57" s="43"/>
      <c r="O57" s="43"/>
    </row>
    <row r="58" spans="2:15" s="2" customFormat="1" outlineLevel="1" x14ac:dyDescent="0.3">
      <c r="B58" s="45"/>
      <c r="C58" s="45"/>
      <c r="D58" s="45"/>
      <c r="E58" s="133"/>
      <c r="F58" s="133"/>
      <c r="G58" s="133"/>
      <c r="H58" s="133"/>
      <c r="I58" s="133"/>
      <c r="J58" s="133"/>
      <c r="K58" s="133"/>
      <c r="L58" s="53"/>
      <c r="M58" s="55"/>
      <c r="N58" s="55"/>
      <c r="O58" s="55"/>
    </row>
    <row r="59" spans="2:15" outlineLevel="1" x14ac:dyDescent="0.3">
      <c r="B59" s="43" t="s">
        <v>136</v>
      </c>
      <c r="C59" s="43"/>
      <c r="D59" s="43"/>
      <c r="E59" s="130">
        <f>'1. Realisatie RR'!E26</f>
        <v>-4</v>
      </c>
      <c r="F59" s="130">
        <f>'1. Realisatie RR'!F26</f>
        <v>-4</v>
      </c>
      <c r="G59" s="111">
        <v>-10</v>
      </c>
      <c r="H59" s="111">
        <v>-7</v>
      </c>
      <c r="I59" s="111">
        <v>-7</v>
      </c>
      <c r="J59" s="111">
        <v>-7</v>
      </c>
      <c r="K59" s="111">
        <v>-7</v>
      </c>
      <c r="L59" s="43"/>
      <c r="M59" s="52" t="s">
        <v>192</v>
      </c>
      <c r="N59" s="43"/>
      <c r="O59" s="43"/>
    </row>
    <row r="60" spans="2:15" outlineLevel="1" x14ac:dyDescent="0.3">
      <c r="B60" s="43" t="s">
        <v>137</v>
      </c>
      <c r="C60" s="43"/>
      <c r="D60" s="43"/>
      <c r="E60" s="130">
        <f>'1. Realisatie RR'!E27</f>
        <v>-1</v>
      </c>
      <c r="F60" s="130">
        <f>'1. Realisatie RR'!F27</f>
        <v>-2</v>
      </c>
      <c r="G60" s="131"/>
      <c r="H60" s="131">
        <v>-25</v>
      </c>
      <c r="I60" s="131">
        <v>-25</v>
      </c>
      <c r="J60" s="131">
        <v>-26</v>
      </c>
      <c r="K60" s="131">
        <v>-20</v>
      </c>
      <c r="L60" s="43"/>
      <c r="M60" s="52" t="s">
        <v>193</v>
      </c>
      <c r="N60" s="43"/>
      <c r="O60" s="43"/>
    </row>
    <row r="61" spans="2:15" s="2" customFormat="1" outlineLevel="1" x14ac:dyDescent="0.3">
      <c r="B61" s="45" t="str">
        <f>RR!B22</f>
        <v>Financiële lasten</v>
      </c>
      <c r="C61" s="45"/>
      <c r="D61" s="45"/>
      <c r="E61" s="114">
        <f t="shared" ref="E61:K61" si="17">SUM(E59:E60)</f>
        <v>-5</v>
      </c>
      <c r="F61" s="114">
        <f t="shared" si="17"/>
        <v>-6</v>
      </c>
      <c r="G61" s="114">
        <f t="shared" si="17"/>
        <v>-10</v>
      </c>
      <c r="H61" s="114">
        <f t="shared" si="17"/>
        <v>-32</v>
      </c>
      <c r="I61" s="114">
        <f t="shared" si="17"/>
        <v>-32</v>
      </c>
      <c r="J61" s="114">
        <f t="shared" si="17"/>
        <v>-33</v>
      </c>
      <c r="K61" s="114">
        <f t="shared" si="17"/>
        <v>-27</v>
      </c>
      <c r="L61" s="53"/>
      <c r="M61" s="52" t="s">
        <v>10</v>
      </c>
      <c r="N61" s="53"/>
      <c r="O61" s="53"/>
    </row>
    <row r="62" spans="2:15" x14ac:dyDescent="0.3">
      <c r="B62" s="43"/>
      <c r="C62" s="43"/>
      <c r="D62" s="43"/>
      <c r="E62" s="115"/>
      <c r="F62" s="115"/>
      <c r="G62" s="115"/>
      <c r="H62" s="115"/>
      <c r="I62" s="115"/>
      <c r="J62" s="115"/>
      <c r="K62" s="115"/>
      <c r="L62" s="43"/>
      <c r="M62" s="43"/>
      <c r="N62" s="43"/>
      <c r="O62" s="43"/>
    </row>
    <row r="63" spans="2:15" s="2" customFormat="1" x14ac:dyDescent="0.3">
      <c r="B63" s="109" t="s">
        <v>6</v>
      </c>
      <c r="C63" s="110"/>
      <c r="D63" s="109"/>
      <c r="E63" s="110" t="str">
        <f t="shared" ref="E63:K63" si="18">E5</f>
        <v>R 2024</v>
      </c>
      <c r="F63" s="110" t="str">
        <f t="shared" si="18"/>
        <v>R 2025</v>
      </c>
      <c r="G63" s="110" t="str">
        <f t="shared" si="18"/>
        <v>P 2026</v>
      </c>
      <c r="H63" s="110" t="str">
        <f t="shared" si="18"/>
        <v>P 2027</v>
      </c>
      <c r="I63" s="110" t="str">
        <f t="shared" si="18"/>
        <v>P 2028</v>
      </c>
      <c r="J63" s="110" t="str">
        <f t="shared" si="18"/>
        <v>P 2029</v>
      </c>
      <c r="K63" s="110" t="str">
        <f t="shared" si="18"/>
        <v>P 2030</v>
      </c>
      <c r="L63" s="55"/>
      <c r="M63" s="55"/>
      <c r="N63" s="55"/>
      <c r="O63" s="55"/>
    </row>
    <row r="64" spans="2:15" s="2" customFormat="1" outlineLevel="1" x14ac:dyDescent="0.3">
      <c r="B64" s="45"/>
      <c r="C64" s="45"/>
      <c r="D64" s="45"/>
      <c r="E64" s="57"/>
      <c r="F64" s="57"/>
      <c r="G64" s="57"/>
      <c r="H64" s="57"/>
      <c r="I64" s="57"/>
      <c r="J64" s="57"/>
      <c r="K64" s="57"/>
      <c r="L64" s="53"/>
      <c r="M64" s="53"/>
      <c r="N64" s="45"/>
      <c r="O64" s="45"/>
    </row>
    <row r="65" spans="2:15" outlineLevel="1" x14ac:dyDescent="0.3">
      <c r="B65" s="43" t="s">
        <v>13</v>
      </c>
      <c r="C65" s="104">
        <v>0.25</v>
      </c>
      <c r="D65" s="43"/>
      <c r="E65" s="72">
        <f>-E67/E66</f>
        <v>0.11267605633802817</v>
      </c>
      <c r="F65" s="72">
        <f>-F67/F66</f>
        <v>0.32051282051282054</v>
      </c>
      <c r="G65" s="72">
        <f>$C65</f>
        <v>0.25</v>
      </c>
      <c r="H65" s="72">
        <f t="shared" ref="H65:K65" si="19">$C65</f>
        <v>0.25</v>
      </c>
      <c r="I65" s="72">
        <f t="shared" si="19"/>
        <v>0.25</v>
      </c>
      <c r="J65" s="72">
        <f t="shared" si="19"/>
        <v>0.25</v>
      </c>
      <c r="K65" s="72">
        <f t="shared" si="19"/>
        <v>0.25</v>
      </c>
      <c r="L65" s="52"/>
      <c r="M65" s="52"/>
      <c r="N65" s="43"/>
      <c r="O65" s="43"/>
    </row>
    <row r="66" spans="2:15" s="2" customFormat="1" outlineLevel="1" x14ac:dyDescent="0.3">
      <c r="B66" s="43" t="s">
        <v>5</v>
      </c>
      <c r="C66" s="45"/>
      <c r="D66" s="45"/>
      <c r="E66" s="115">
        <f t="shared" ref="E66:K66" si="20">E49+E53+E55+E57+E61</f>
        <v>71</v>
      </c>
      <c r="F66" s="115">
        <f t="shared" si="20"/>
        <v>78</v>
      </c>
      <c r="G66" s="115">
        <f>G49+G53+G55+G57+G61</f>
        <v>54.745000000000005</v>
      </c>
      <c r="H66" s="115">
        <f t="shared" si="20"/>
        <v>43.001524999999901</v>
      </c>
      <c r="I66" s="115">
        <f t="shared" si="20"/>
        <v>49.008013000000005</v>
      </c>
      <c r="J66" s="115">
        <f t="shared" si="20"/>
        <v>93.81675990999986</v>
      </c>
      <c r="K66" s="115">
        <f t="shared" si="20"/>
        <v>50.452327719400046</v>
      </c>
      <c r="L66" s="53"/>
      <c r="M66" s="52"/>
      <c r="N66" s="45"/>
      <c r="O66" s="45"/>
    </row>
    <row r="67" spans="2:15" s="2" customFormat="1" outlineLevel="1" x14ac:dyDescent="0.3">
      <c r="B67" s="45" t="s">
        <v>6</v>
      </c>
      <c r="C67" s="45"/>
      <c r="D67" s="45"/>
      <c r="E67" s="129">
        <f>'1. Realisatie RR'!E30</f>
        <v>-8</v>
      </c>
      <c r="F67" s="129">
        <f>'1. Realisatie RR'!F30</f>
        <v>-25</v>
      </c>
      <c r="G67" s="116">
        <f>G66*-G65</f>
        <v>-13.686250000000001</v>
      </c>
      <c r="H67" s="116">
        <f t="shared" ref="H67:K67" si="21">H66*-H65</f>
        <v>-10.750381249999975</v>
      </c>
      <c r="I67" s="116">
        <f t="shared" si="21"/>
        <v>-12.252003250000001</v>
      </c>
      <c r="J67" s="116">
        <f t="shared" si="21"/>
        <v>-23.454189977499965</v>
      </c>
      <c r="K67" s="116">
        <f t="shared" si="21"/>
        <v>-12.613081929850011</v>
      </c>
      <c r="L67" s="53"/>
      <c r="M67" s="52" t="s">
        <v>10</v>
      </c>
      <c r="N67" s="53"/>
      <c r="O67" s="53"/>
    </row>
    <row r="68" spans="2:15" x14ac:dyDescent="0.3">
      <c r="B68" s="43"/>
      <c r="C68" s="43"/>
      <c r="D68" s="43"/>
      <c r="E68" s="119"/>
      <c r="F68" s="119"/>
      <c r="G68" s="119"/>
      <c r="H68" s="119"/>
      <c r="I68" s="119"/>
      <c r="J68" s="119"/>
      <c r="K68" s="119"/>
      <c r="L68" s="52"/>
      <c r="M68" s="52"/>
      <c r="N68" s="43"/>
      <c r="O68" s="43"/>
    </row>
    <row r="69" spans="2:15" s="2" customFormat="1" x14ac:dyDescent="0.3">
      <c r="B69" s="109" t="s">
        <v>20</v>
      </c>
      <c r="C69" s="110"/>
      <c r="D69" s="109"/>
      <c r="E69" s="110" t="str">
        <f t="shared" ref="E69:K69" si="22">E5</f>
        <v>R 2024</v>
      </c>
      <c r="F69" s="110" t="str">
        <f t="shared" si="22"/>
        <v>R 2025</v>
      </c>
      <c r="G69" s="110" t="str">
        <f t="shared" si="22"/>
        <v>P 2026</v>
      </c>
      <c r="H69" s="110" t="str">
        <f t="shared" si="22"/>
        <v>P 2027</v>
      </c>
      <c r="I69" s="110" t="str">
        <f t="shared" si="22"/>
        <v>P 2028</v>
      </c>
      <c r="J69" s="110" t="str">
        <f t="shared" si="22"/>
        <v>P 2029</v>
      </c>
      <c r="K69" s="110" t="str">
        <f t="shared" si="22"/>
        <v>P 2030</v>
      </c>
      <c r="L69" s="55"/>
      <c r="M69" s="55"/>
      <c r="N69" s="55"/>
      <c r="O69" s="55"/>
    </row>
    <row r="70" spans="2:15" s="2" customFormat="1" outlineLevel="1" x14ac:dyDescent="0.3">
      <c r="B70" s="45"/>
      <c r="C70" s="45"/>
      <c r="D70" s="45"/>
      <c r="E70" s="64"/>
      <c r="F70" s="64"/>
      <c r="G70" s="64"/>
      <c r="H70" s="64"/>
      <c r="I70" s="64"/>
      <c r="J70" s="64"/>
      <c r="K70" s="64"/>
      <c r="L70" s="53"/>
      <c r="M70" s="53"/>
      <c r="N70" s="45"/>
      <c r="O70" s="45"/>
    </row>
    <row r="71" spans="2:15" s="2" customFormat="1" outlineLevel="1" x14ac:dyDescent="0.3">
      <c r="B71" s="45" t="str">
        <f>RR!B26</f>
        <v>Netto resultaat</v>
      </c>
      <c r="C71" s="45"/>
      <c r="D71" s="45"/>
      <c r="E71" s="160">
        <f t="shared" ref="E71:K71" si="23">E66+E67</f>
        <v>63</v>
      </c>
      <c r="F71" s="160">
        <f t="shared" si="23"/>
        <v>53</v>
      </c>
      <c r="G71" s="160">
        <f t="shared" si="23"/>
        <v>41.058750000000003</v>
      </c>
      <c r="H71" s="160">
        <f t="shared" si="23"/>
        <v>32.251143749999926</v>
      </c>
      <c r="I71" s="160">
        <f t="shared" si="23"/>
        <v>36.756009750000004</v>
      </c>
      <c r="J71" s="160">
        <f t="shared" si="23"/>
        <v>70.362569932499895</v>
      </c>
      <c r="K71" s="160">
        <f t="shared" si="23"/>
        <v>37.839245789550034</v>
      </c>
      <c r="L71" s="53"/>
      <c r="M71" s="53"/>
      <c r="N71" s="45"/>
      <c r="O71" s="45"/>
    </row>
    <row r="72" spans="2:15" outlineLevel="1" x14ac:dyDescent="0.3">
      <c r="B72" s="43" t="s">
        <v>77</v>
      </c>
      <c r="C72" s="43"/>
      <c r="D72" s="43"/>
      <c r="E72" s="135">
        <f>-'1. Realisatie RR'!E33</f>
        <v>-10</v>
      </c>
      <c r="F72" s="135">
        <f>-'1. Realisatie RR'!F33</f>
        <v>-11</v>
      </c>
      <c r="G72" s="136">
        <v>-10</v>
      </c>
      <c r="H72" s="136">
        <v>-10</v>
      </c>
      <c r="I72" s="136">
        <v>-15</v>
      </c>
      <c r="J72" s="136">
        <v>-20</v>
      </c>
      <c r="K72" s="136">
        <v>-20</v>
      </c>
      <c r="L72" s="52"/>
      <c r="M72" s="52" t="s">
        <v>21</v>
      </c>
      <c r="N72" s="43"/>
      <c r="O72" s="43"/>
    </row>
    <row r="73" spans="2:15" s="2" customFormat="1" outlineLevel="1" x14ac:dyDescent="0.3">
      <c r="B73" s="45"/>
      <c r="C73" s="45"/>
      <c r="D73" s="45"/>
      <c r="E73" s="137"/>
      <c r="F73" s="137"/>
      <c r="G73" s="138"/>
      <c r="H73" s="138"/>
      <c r="I73" s="138"/>
      <c r="J73" s="138"/>
      <c r="K73" s="138"/>
      <c r="L73" s="53"/>
      <c r="M73" s="52"/>
      <c r="N73" s="53"/>
      <c r="O73" s="53"/>
    </row>
    <row r="74" spans="2:15" outlineLevel="1" x14ac:dyDescent="0.3">
      <c r="B74" s="43" t="s">
        <v>78</v>
      </c>
      <c r="C74" s="43"/>
      <c r="D74" s="43"/>
      <c r="E74" s="134">
        <f>E71+E72</f>
        <v>53</v>
      </c>
      <c r="F74" s="134">
        <f t="shared" ref="F74:K74" si="24">F71+F72</f>
        <v>42</v>
      </c>
      <c r="G74" s="134">
        <f t="shared" si="24"/>
        <v>31.058750000000003</v>
      </c>
      <c r="H74" s="134">
        <f t="shared" si="24"/>
        <v>22.251143749999926</v>
      </c>
      <c r="I74" s="134">
        <f t="shared" si="24"/>
        <v>21.756009750000004</v>
      </c>
      <c r="J74" s="134">
        <f t="shared" si="24"/>
        <v>50.362569932499895</v>
      </c>
      <c r="K74" s="134">
        <f t="shared" si="24"/>
        <v>17.839245789550034</v>
      </c>
      <c r="L74" s="52"/>
      <c r="M74" s="52"/>
      <c r="N74" s="43"/>
      <c r="O74" s="43"/>
    </row>
    <row r="75" spans="2:15" outlineLevel="1" x14ac:dyDescent="0.3">
      <c r="B75" s="43" t="s">
        <v>30</v>
      </c>
      <c r="C75" s="43"/>
      <c r="D75" s="43"/>
      <c r="E75" s="73">
        <f>-E72/E71</f>
        <v>0.15873015873015872</v>
      </c>
      <c r="F75" s="73">
        <f t="shared" ref="F75:K75" si="25">-F72/F71</f>
        <v>0.20754716981132076</v>
      </c>
      <c r="G75" s="73">
        <f t="shared" si="25"/>
        <v>0.24355344475903429</v>
      </c>
      <c r="H75" s="73">
        <f t="shared" si="25"/>
        <v>0.3100665228345591</v>
      </c>
      <c r="I75" s="73">
        <f t="shared" si="25"/>
        <v>0.40809652903087495</v>
      </c>
      <c r="J75" s="73">
        <f t="shared" si="25"/>
        <v>0.28424203406990917</v>
      </c>
      <c r="K75" s="73">
        <f t="shared" si="25"/>
        <v>0.5285517610798508</v>
      </c>
      <c r="L75" s="52"/>
      <c r="M75" s="52"/>
      <c r="N75" s="43"/>
      <c r="O75" s="43"/>
    </row>
    <row r="76" spans="2:15" x14ac:dyDescent="0.3">
      <c r="B76" s="43"/>
      <c r="C76" s="43"/>
      <c r="D76" s="43"/>
      <c r="E76" s="65"/>
      <c r="F76" s="65"/>
      <c r="G76" s="65"/>
      <c r="H76" s="65"/>
      <c r="I76" s="65"/>
      <c r="J76" s="65"/>
      <c r="K76" s="65"/>
      <c r="L76" s="52"/>
      <c r="M76" s="52"/>
      <c r="N76" s="52"/>
      <c r="O76" s="52"/>
    </row>
    <row r="77" spans="2:15" s="2" customFormat="1" x14ac:dyDescent="0.3">
      <c r="B77" s="109" t="s">
        <v>123</v>
      </c>
      <c r="C77" s="110"/>
      <c r="D77" s="109"/>
      <c r="E77" s="110" t="str">
        <f t="shared" ref="E77:K77" si="26">E5</f>
        <v>R 2024</v>
      </c>
      <c r="F77" s="110" t="str">
        <f t="shared" si="26"/>
        <v>R 2025</v>
      </c>
      <c r="G77" s="110" t="str">
        <f t="shared" si="26"/>
        <v>P 2026</v>
      </c>
      <c r="H77" s="110" t="str">
        <f t="shared" si="26"/>
        <v>P 2027</v>
      </c>
      <c r="I77" s="110" t="str">
        <f t="shared" si="26"/>
        <v>P 2028</v>
      </c>
      <c r="J77" s="110" t="str">
        <f t="shared" si="26"/>
        <v>P 2029</v>
      </c>
      <c r="K77" s="110" t="str">
        <f t="shared" si="26"/>
        <v>P 2030</v>
      </c>
      <c r="L77" s="55"/>
      <c r="M77" s="55"/>
      <c r="N77" s="55"/>
      <c r="O77" s="55"/>
    </row>
    <row r="78" spans="2:15" s="2" customFormat="1" outlineLevel="1" x14ac:dyDescent="0.3">
      <c r="B78" s="45"/>
      <c r="C78" s="45"/>
      <c r="D78" s="45"/>
      <c r="E78" s="64"/>
      <c r="F78" s="64"/>
      <c r="G78" s="64"/>
      <c r="H78" s="64"/>
      <c r="I78" s="64"/>
      <c r="J78" s="64"/>
      <c r="K78" s="64"/>
      <c r="L78" s="53"/>
      <c r="M78" s="53"/>
      <c r="N78" s="45"/>
      <c r="O78" s="45"/>
    </row>
    <row r="79" spans="2:15" outlineLevel="1" x14ac:dyDescent="0.3">
      <c r="B79" s="43" t="str">
        <f>RR!B26&amp;" optelling"</f>
        <v>Netto resultaat optelling</v>
      </c>
      <c r="C79" s="43"/>
      <c r="D79" s="43"/>
      <c r="E79" s="119">
        <f t="shared" ref="E79:K79" si="27">E71</f>
        <v>63</v>
      </c>
      <c r="F79" s="119">
        <f t="shared" si="27"/>
        <v>53</v>
      </c>
      <c r="G79" s="119">
        <f t="shared" si="27"/>
        <v>41.058750000000003</v>
      </c>
      <c r="H79" s="119">
        <f t="shared" si="27"/>
        <v>32.251143749999926</v>
      </c>
      <c r="I79" s="119">
        <f t="shared" si="27"/>
        <v>36.756009750000004</v>
      </c>
      <c r="J79" s="119">
        <f t="shared" si="27"/>
        <v>70.362569932499895</v>
      </c>
      <c r="K79" s="119">
        <f t="shared" si="27"/>
        <v>37.839245789550034</v>
      </c>
      <c r="L79" s="52"/>
      <c r="M79" s="52" t="s">
        <v>25</v>
      </c>
      <c r="N79" s="52"/>
      <c r="O79" s="52"/>
    </row>
    <row r="80" spans="2:15" outlineLevel="1" x14ac:dyDescent="0.3">
      <c r="B80" s="43" t="str">
        <f>RR!B26&amp;" vanuit RR"</f>
        <v>Netto resultaat vanuit RR</v>
      </c>
      <c r="C80" s="54"/>
      <c r="D80" s="54"/>
      <c r="E80" s="130">
        <f>RR!E26</f>
        <v>63</v>
      </c>
      <c r="F80" s="130">
        <f>RR!F26</f>
        <v>53</v>
      </c>
      <c r="G80" s="130">
        <f>RR!G26</f>
        <v>41.058750000000117</v>
      </c>
      <c r="H80" s="130">
        <f>RR!H26</f>
        <v>32.25114375000004</v>
      </c>
      <c r="I80" s="130">
        <f>RR!I26</f>
        <v>36.756009750000004</v>
      </c>
      <c r="J80" s="130">
        <f>RR!J26</f>
        <v>70.362569932499895</v>
      </c>
      <c r="K80" s="130">
        <f>RR!K26</f>
        <v>37.839245789549921</v>
      </c>
      <c r="L80" s="81"/>
      <c r="M80" s="52" t="s">
        <v>75</v>
      </c>
      <c r="N80" s="52"/>
      <c r="O80" s="52"/>
    </row>
    <row r="81" spans="2:15" s="152" customFormat="1" outlineLevel="1" x14ac:dyDescent="0.3">
      <c r="B81" s="90" t="s">
        <v>8</v>
      </c>
      <c r="C81" s="90"/>
      <c r="D81" s="90"/>
      <c r="E81" s="153">
        <f>ROUND(E79,2)-ROUND(E80,2)</f>
        <v>0</v>
      </c>
      <c r="F81" s="153">
        <f t="shared" ref="F81:K81" si="28">ROUND(F79,2)-ROUND(F80,2)</f>
        <v>0</v>
      </c>
      <c r="G81" s="153">
        <f t="shared" si="28"/>
        <v>0</v>
      </c>
      <c r="H81" s="153">
        <f t="shared" si="28"/>
        <v>0</v>
      </c>
      <c r="I81" s="153">
        <f t="shared" si="28"/>
        <v>0</v>
      </c>
      <c r="J81" s="153">
        <f t="shared" si="28"/>
        <v>0</v>
      </c>
      <c r="K81" s="153">
        <f t="shared" si="28"/>
        <v>0</v>
      </c>
      <c r="L81" s="92"/>
      <c r="M81" s="92" t="s">
        <v>26</v>
      </c>
      <c r="N81" s="92"/>
      <c r="O81" s="92"/>
    </row>
    <row r="82" spans="2:15" x14ac:dyDescent="0.3">
      <c r="B82" s="43"/>
      <c r="C82" s="43"/>
      <c r="D82" s="43"/>
      <c r="E82" s="43"/>
      <c r="F82" s="43"/>
      <c r="G82" s="43"/>
      <c r="H82" s="43"/>
      <c r="I82" s="43"/>
      <c r="J82" s="43"/>
      <c r="K82" s="43"/>
      <c r="L82" s="52"/>
      <c r="M82" s="52"/>
      <c r="N82" s="52"/>
      <c r="O82" s="52"/>
    </row>
    <row r="83" spans="2:15" x14ac:dyDescent="0.3">
      <c r="B83" s="43" t="s">
        <v>180</v>
      </c>
      <c r="C83" s="43"/>
      <c r="D83" s="43"/>
      <c r="E83" s="119">
        <f>E79</f>
        <v>63</v>
      </c>
      <c r="F83" s="119">
        <f>F79</f>
        <v>53</v>
      </c>
      <c r="G83" s="154"/>
      <c r="H83" s="154"/>
      <c r="I83" s="154"/>
      <c r="J83" s="154"/>
      <c r="K83" s="154"/>
      <c r="L83" s="52"/>
      <c r="M83" s="52" t="s">
        <v>25</v>
      </c>
      <c r="N83" s="52"/>
      <c r="O83" s="52"/>
    </row>
    <row r="84" spans="2:15" x14ac:dyDescent="0.3">
      <c r="B84" s="43" t="s">
        <v>194</v>
      </c>
      <c r="C84" s="54"/>
      <c r="D84" s="54"/>
      <c r="E84" s="130">
        <f>'1. Realisatie RR'!E31</f>
        <v>63</v>
      </c>
      <c r="F84" s="130">
        <f>'1. Realisatie RR'!F31</f>
        <v>53</v>
      </c>
      <c r="G84" s="140"/>
      <c r="H84" s="140"/>
      <c r="I84" s="140"/>
      <c r="J84" s="140"/>
      <c r="K84" s="140"/>
      <c r="L84" s="52"/>
      <c r="M84" s="52" t="s">
        <v>181</v>
      </c>
      <c r="N84" s="52"/>
      <c r="O84" s="52"/>
    </row>
    <row r="85" spans="2:15" x14ac:dyDescent="0.3">
      <c r="B85" s="51" t="s">
        <v>8</v>
      </c>
      <c r="C85" s="51"/>
      <c r="D85" s="51"/>
      <c r="E85" s="156">
        <f>E83-E84</f>
        <v>0</v>
      </c>
      <c r="F85" s="156">
        <f t="shared" ref="F85" si="29">F83-F84</f>
        <v>0</v>
      </c>
      <c r="G85" s="155"/>
      <c r="H85" s="155"/>
      <c r="I85" s="155"/>
      <c r="J85" s="155"/>
      <c r="K85" s="155"/>
      <c r="L85" s="52"/>
      <c r="M85" s="91" t="s">
        <v>26</v>
      </c>
      <c r="N85" s="52"/>
      <c r="O85" s="52"/>
    </row>
    <row r="86" spans="2:15" x14ac:dyDescent="0.3">
      <c r="B86" s="43"/>
      <c r="C86" s="43"/>
      <c r="D86" s="43"/>
      <c r="E86" s="43"/>
      <c r="F86" s="43"/>
      <c r="G86" s="43"/>
      <c r="H86" s="43"/>
      <c r="I86" s="43"/>
      <c r="J86" s="43"/>
      <c r="K86" s="43"/>
      <c r="L86" s="52"/>
      <c r="M86" s="52"/>
      <c r="N86" s="52"/>
      <c r="O86" s="52"/>
    </row>
  </sheetData>
  <conditionalFormatting sqref="E4:K4">
    <cfRule type="expression" dxfId="4" priority="6">
      <formula>E4="CHECK"</formula>
    </cfRule>
  </conditionalFormatting>
  <conditionalFormatting sqref="E81:K81">
    <cfRule type="expression" dxfId="3" priority="7">
      <formula>E81&lt;&gt;0</formula>
    </cfRule>
  </conditionalFormatting>
  <conditionalFormatting sqref="E85:K85">
    <cfRule type="expression" dxfId="2" priority="4">
      <formula>E85&lt;&gt;0</formula>
    </cfRule>
  </conditionalFormatting>
  <conditionalFormatting sqref="H2">
    <cfRule type="cellIs" dxfId="1" priority="1" operator="notEqual">
      <formula>0</formula>
    </cfRule>
    <cfRule type="cellIs" dxfId="0" priority="2" operator="equal">
      <formula>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Bepalingen</vt:lpstr>
      <vt:lpstr>Modeltoelichting</vt:lpstr>
      <vt:lpstr>Afkortingen</vt:lpstr>
      <vt:lpstr>OUTPUT-&gt;</vt:lpstr>
      <vt:lpstr>ErrorChecks</vt:lpstr>
      <vt:lpstr>Dashboard</vt:lpstr>
      <vt:lpstr>RR</vt:lpstr>
      <vt:lpstr>Ratios</vt:lpstr>
      <vt:lpstr>INVOER-&gt;</vt:lpstr>
      <vt:lpstr>1. Realisatie RR</vt:lpstr>
      <vt:lpstr>2. Prognose RR</vt:lpstr>
      <vt:lpstr>Dashboard!Print_Area</vt:lpstr>
      <vt:lpstr>Ratios!Print_Area</vt:lpstr>
      <vt:lpstr>RR!Print_Area</vt:lpstr>
    </vt:vector>
  </TitlesOfParts>
  <Company>KnowYourFinance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KnowYourFinance</dc:creator>
  <cp:lastModifiedBy>Sieuwerd Tiemersma</cp:lastModifiedBy>
  <cp:lastPrinted>2019-08-02T08:37:55Z</cp:lastPrinted>
  <dcterms:created xsi:type="dcterms:W3CDTF">2017-10-27T13:57:08Z</dcterms:created>
  <dcterms:modified xsi:type="dcterms:W3CDTF">2026-05-22T08:00:35Z</dcterms:modified>
</cp:coreProperties>
</file>