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stiem\OneDrive\Documents\_KnowYourFinance\Modellen\Investering met verv\"/>
    </mc:Choice>
  </mc:AlternateContent>
  <xr:revisionPtr revIDLastSave="0" documentId="13_ncr:1_{1FAB41A0-BD61-4100-8171-08FC73EF8904}" xr6:coauthVersionLast="47" xr6:coauthVersionMax="47" xr10:uidLastSave="{00000000-0000-0000-0000-000000000000}"/>
  <bookViews>
    <workbookView xWindow="-108" yWindow="-108" windowWidth="23256" windowHeight="12456" tabRatio="688" firstSheet="4" activeTab="4" xr2:uid="{00000000-000D-0000-FFFF-FFFF00000000}"/>
  </bookViews>
  <sheets>
    <sheet name="Bepalingen voor gebruik" sheetId="31" r:id="rId1"/>
    <sheet name="Modeltoelichting" sheetId="30" r:id="rId2"/>
    <sheet name="Afkortingen" sheetId="29" r:id="rId3"/>
    <sheet name="OUTPUT-&gt;" sheetId="21" r:id="rId4"/>
    <sheet name="Dashboard" sheetId="19" r:id="rId5"/>
    <sheet name="INVOER-&gt;" sheetId="13" r:id="rId6"/>
    <sheet name="Invoer Scenario Basis" sheetId="12" r:id="rId7"/>
    <sheet name="Invoer Scenario Flex" sheetId="27" r:id="rId8"/>
    <sheet name="SCENARIOS CALC-&gt;" sheetId="23" r:id="rId9"/>
    <sheet name="Calc Scenario Hoog" sheetId="25" r:id="rId10"/>
    <sheet name="Calc Scenario Laag" sheetId="26" r:id="rId11"/>
    <sheet name="Scenario Sensivity" sheetId="28" r:id="rId12"/>
  </sheets>
  <definedNames>
    <definedName name="_xlnm.Print_Area" localSheetId="4">Dashboard!$B$2:$T$33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3" i="19" l="1"/>
  <c r="E9" i="28"/>
  <c r="E9" i="26"/>
  <c r="E9" i="27"/>
  <c r="L54" i="25"/>
  <c r="L53" i="25"/>
  <c r="L54" i="26"/>
  <c r="L53" i="26"/>
  <c r="L54" i="28"/>
  <c r="L53" i="28"/>
  <c r="L54" i="12"/>
  <c r="J54" i="12"/>
  <c r="L53" i="12"/>
  <c r="E53" i="12"/>
  <c r="I48" i="25"/>
  <c r="H48" i="25"/>
  <c r="G48" i="25"/>
  <c r="F48" i="25"/>
  <c r="I48" i="26"/>
  <c r="H48" i="26"/>
  <c r="G48" i="26"/>
  <c r="F48" i="26"/>
  <c r="I48" i="28"/>
  <c r="H48" i="28"/>
  <c r="G48" i="28"/>
  <c r="F48" i="28"/>
  <c r="I48" i="12"/>
  <c r="H48" i="12"/>
  <c r="G48" i="12"/>
  <c r="F48" i="12"/>
  <c r="L36" i="25"/>
  <c r="L35" i="25"/>
  <c r="L36" i="26"/>
  <c r="L35" i="26"/>
  <c r="L36" i="28"/>
  <c r="L35" i="28"/>
  <c r="L36" i="12"/>
  <c r="J36" i="12"/>
  <c r="L35" i="12"/>
  <c r="E35" i="12"/>
  <c r="E48" i="12" s="1"/>
  <c r="E32" i="12"/>
  <c r="L31" i="26"/>
  <c r="L31" i="28"/>
  <c r="L31" i="25"/>
  <c r="L31" i="12"/>
  <c r="J31" i="12"/>
  <c r="I31" i="12"/>
  <c r="H31" i="12"/>
  <c r="G31" i="12"/>
  <c r="F31" i="12"/>
  <c r="E17" i="28"/>
  <c r="E35" i="28" s="1"/>
  <c r="E48" i="28" s="1"/>
  <c r="E17" i="26"/>
  <c r="E35" i="26" s="1"/>
  <c r="E48" i="26" s="1"/>
  <c r="E16" i="28"/>
  <c r="E53" i="28" s="1"/>
  <c r="E16" i="26"/>
  <c r="E53" i="26" s="1"/>
  <c r="J15" i="28"/>
  <c r="J36" i="28" s="1"/>
  <c r="J15" i="26"/>
  <c r="J36" i="26" s="1"/>
  <c r="J14" i="28"/>
  <c r="J54" i="28" s="1"/>
  <c r="J14" i="26"/>
  <c r="J54" i="26" s="1"/>
  <c r="J13" i="28"/>
  <c r="J31" i="28" s="1"/>
  <c r="I13" i="28"/>
  <c r="I31" i="28" s="1"/>
  <c r="H13" i="28"/>
  <c r="H31" i="28" s="1"/>
  <c r="G13" i="28"/>
  <c r="G31" i="28" s="1"/>
  <c r="J13" i="26"/>
  <c r="J31" i="26" s="1"/>
  <c r="I13" i="26"/>
  <c r="I31" i="26" s="1"/>
  <c r="H13" i="26"/>
  <c r="H31" i="26" s="1"/>
  <c r="G13" i="26"/>
  <c r="G31" i="26" s="1"/>
  <c r="F13" i="28"/>
  <c r="F31" i="28" s="1"/>
  <c r="F13" i="26"/>
  <c r="F31" i="26" s="1"/>
  <c r="E17" i="25"/>
  <c r="E35" i="25" s="1"/>
  <c r="E48" i="25" s="1"/>
  <c r="E16" i="25"/>
  <c r="E53" i="25" s="1"/>
  <c r="J15" i="25"/>
  <c r="J36" i="25" s="1"/>
  <c r="J14" i="25"/>
  <c r="J54" i="25" s="1"/>
  <c r="J13" i="25"/>
  <c r="J31" i="25" s="1"/>
  <c r="I13" i="25"/>
  <c r="I31" i="25" s="1"/>
  <c r="H13" i="25"/>
  <c r="H31" i="25" s="1"/>
  <c r="G13" i="25"/>
  <c r="G31" i="25" s="1"/>
  <c r="F13" i="25"/>
  <c r="F31" i="25" s="1"/>
  <c r="I48" i="27"/>
  <c r="H48" i="27"/>
  <c r="G48" i="27"/>
  <c r="F48" i="27"/>
  <c r="E38" i="12" l="1"/>
  <c r="L54" i="27"/>
  <c r="L35" i="27"/>
  <c r="L53" i="27"/>
  <c r="L36" i="27"/>
  <c r="J36" i="27"/>
  <c r="E35" i="27"/>
  <c r="E48" i="27" s="1"/>
  <c r="J54" i="27"/>
  <c r="E53" i="27"/>
  <c r="L31" i="27"/>
  <c r="J31" i="27"/>
  <c r="I31" i="27"/>
  <c r="H31" i="27"/>
  <c r="G31" i="27"/>
  <c r="F31" i="27"/>
  <c r="E32" i="27"/>
  <c r="E38" i="27" l="1"/>
  <c r="G49" i="28"/>
  <c r="G11" i="19"/>
  <c r="G9" i="19"/>
  <c r="G49" i="26"/>
  <c r="J52" i="26"/>
  <c r="J94" i="26" s="1"/>
  <c r="J105" i="26" s="1"/>
  <c r="J52" i="25"/>
  <c r="J94" i="25" s="1"/>
  <c r="J105" i="25" s="1"/>
  <c r="G49" i="25"/>
  <c r="B79" i="12"/>
  <c r="B72" i="12"/>
  <c r="F49" i="25"/>
  <c r="F49" i="26"/>
  <c r="F49" i="28"/>
  <c r="E49" i="25"/>
  <c r="E49" i="26"/>
  <c r="E49" i="28"/>
  <c r="J94" i="12"/>
  <c r="J105" i="12" s="1"/>
  <c r="J94" i="27"/>
  <c r="J105" i="27" s="1"/>
  <c r="C112" i="28" l="1"/>
  <c r="C111" i="28"/>
  <c r="C110" i="28"/>
  <c r="E8" i="28" s="1"/>
  <c r="C113" i="28"/>
  <c r="C23" i="12"/>
  <c r="C114" i="28"/>
  <c r="J49" i="28"/>
  <c r="I49" i="28"/>
  <c r="H49" i="28"/>
  <c r="C40" i="28"/>
  <c r="J28" i="28"/>
  <c r="I28" i="28"/>
  <c r="H28" i="28"/>
  <c r="G28" i="28"/>
  <c r="F28" i="28"/>
  <c r="J29" i="28"/>
  <c r="I29" i="28"/>
  <c r="H29" i="28"/>
  <c r="G29" i="28"/>
  <c r="F29" i="28"/>
  <c r="E29" i="28"/>
  <c r="C27" i="28"/>
  <c r="J24" i="28"/>
  <c r="I24" i="28"/>
  <c r="H24" i="28"/>
  <c r="G24" i="28"/>
  <c r="F24" i="28"/>
  <c r="E7" i="28"/>
  <c r="E19" i="28" s="1"/>
  <c r="E11" i="28" s="1"/>
  <c r="B79" i="28"/>
  <c r="B72" i="28"/>
  <c r="C23" i="28" l="1"/>
  <c r="E32" i="28"/>
  <c r="E51" i="28"/>
  <c r="E94" i="28" s="1"/>
  <c r="J52" i="28"/>
  <c r="J94" i="28" s="1"/>
  <c r="F21" i="28"/>
  <c r="G21" i="28"/>
  <c r="H21" i="28"/>
  <c r="I21" i="28"/>
  <c r="J21" i="28"/>
  <c r="J27" i="28" s="1"/>
  <c r="E67" i="28"/>
  <c r="E69" i="28" s="1"/>
  <c r="E70" i="28" s="1"/>
  <c r="F19" i="28"/>
  <c r="F11" i="28" s="1"/>
  <c r="H19" i="28"/>
  <c r="H11" i="28" s="1"/>
  <c r="G19" i="28"/>
  <c r="G11" i="28" s="1"/>
  <c r="I19" i="28"/>
  <c r="I11" i="28" s="1"/>
  <c r="E92" i="28"/>
  <c r="E43" i="28"/>
  <c r="J19" i="28"/>
  <c r="J11" i="28" s="1"/>
  <c r="E38" i="28" l="1"/>
  <c r="E40" i="28" s="1"/>
  <c r="E41" i="28" s="1"/>
  <c r="E45" i="28" s="1"/>
  <c r="E56" i="28" s="1"/>
  <c r="E59" i="28" s="1"/>
  <c r="H27" i="28"/>
  <c r="G27" i="28"/>
  <c r="I27" i="28"/>
  <c r="F27" i="28"/>
  <c r="J105" i="28"/>
  <c r="C94" i="28"/>
  <c r="F23" i="28"/>
  <c r="F25" i="28" s="1"/>
  <c r="J23" i="28"/>
  <c r="J25" i="28" s="1"/>
  <c r="H23" i="28"/>
  <c r="H25" i="28" s="1"/>
  <c r="I23" i="28"/>
  <c r="I25" i="28" s="1"/>
  <c r="G23" i="28"/>
  <c r="G25" i="28" s="1"/>
  <c r="F92" i="28"/>
  <c r="F67" i="28"/>
  <c r="F69" i="28" s="1"/>
  <c r="F70" i="28" s="1"/>
  <c r="F43" i="28"/>
  <c r="J43" i="28"/>
  <c r="J67" i="28"/>
  <c r="J69" i="28" s="1"/>
  <c r="J70" i="28" s="1"/>
  <c r="J92" i="28"/>
  <c r="C95" i="28" s="1"/>
  <c r="H92" i="28"/>
  <c r="H43" i="28"/>
  <c r="H67" i="28"/>
  <c r="H69" i="28" s="1"/>
  <c r="H70" i="28" s="1"/>
  <c r="I92" i="28"/>
  <c r="I43" i="28"/>
  <c r="I67" i="28"/>
  <c r="I69" i="28" s="1"/>
  <c r="I70" i="28" s="1"/>
  <c r="G43" i="28"/>
  <c r="G67" i="28"/>
  <c r="G69" i="28" s="1"/>
  <c r="G70" i="28" s="1"/>
  <c r="G92" i="28"/>
  <c r="I11" i="19"/>
  <c r="H11" i="19"/>
  <c r="F11" i="19"/>
  <c r="E11" i="19"/>
  <c r="E7" i="27"/>
  <c r="E19" i="27" s="1"/>
  <c r="E11" i="27" s="1"/>
  <c r="E94" i="27"/>
  <c r="C94" i="27" s="1"/>
  <c r="B79" i="27"/>
  <c r="B72" i="27"/>
  <c r="J27" i="27"/>
  <c r="I27" i="27"/>
  <c r="H27" i="27"/>
  <c r="G27" i="27"/>
  <c r="F27" i="27"/>
  <c r="J23" i="27"/>
  <c r="J25" i="27" s="1"/>
  <c r="I23" i="27"/>
  <c r="I25" i="27" s="1"/>
  <c r="H23" i="27"/>
  <c r="H25" i="27" s="1"/>
  <c r="G23" i="27"/>
  <c r="G25" i="27" s="1"/>
  <c r="F23" i="27"/>
  <c r="F25" i="27" s="1"/>
  <c r="C110" i="26"/>
  <c r="E51" i="26"/>
  <c r="E94" i="26" s="1"/>
  <c r="C23" i="26"/>
  <c r="E8" i="26"/>
  <c r="B79" i="26"/>
  <c r="B72" i="26"/>
  <c r="J49" i="26"/>
  <c r="I49" i="26"/>
  <c r="H49" i="26"/>
  <c r="C40" i="26"/>
  <c r="J29" i="26"/>
  <c r="I29" i="26"/>
  <c r="H29" i="26"/>
  <c r="G29" i="26"/>
  <c r="F29" i="26"/>
  <c r="E29" i="26"/>
  <c r="J28" i="26"/>
  <c r="I28" i="26"/>
  <c r="H28" i="26"/>
  <c r="G28" i="26"/>
  <c r="F28" i="26"/>
  <c r="C27" i="26"/>
  <c r="J24" i="26"/>
  <c r="I24" i="26"/>
  <c r="H24" i="26"/>
  <c r="G24" i="26"/>
  <c r="F24" i="26"/>
  <c r="E7" i="26"/>
  <c r="E19" i="26" s="1"/>
  <c r="E51" i="25"/>
  <c r="E94" i="25" s="1"/>
  <c r="J49" i="25"/>
  <c r="I49" i="25"/>
  <c r="H49" i="25"/>
  <c r="C40" i="25"/>
  <c r="J28" i="25"/>
  <c r="I28" i="25"/>
  <c r="H28" i="25"/>
  <c r="G28" i="25"/>
  <c r="F28" i="25"/>
  <c r="J29" i="25"/>
  <c r="I29" i="25"/>
  <c r="H29" i="25"/>
  <c r="G29" i="25"/>
  <c r="F29" i="25"/>
  <c r="E29" i="25"/>
  <c r="C27" i="25"/>
  <c r="J24" i="25"/>
  <c r="I24" i="25"/>
  <c r="H24" i="25"/>
  <c r="G24" i="25"/>
  <c r="F24" i="25"/>
  <c r="C23" i="25"/>
  <c r="C110" i="25"/>
  <c r="E8" i="25"/>
  <c r="E7" i="25"/>
  <c r="E19" i="25" s="1"/>
  <c r="B79" i="25"/>
  <c r="B72" i="25"/>
  <c r="E32" i="25" l="1"/>
  <c r="E32" i="26"/>
  <c r="E108" i="26"/>
  <c r="E11" i="26"/>
  <c r="E108" i="25"/>
  <c r="E11" i="25"/>
  <c r="E58" i="28"/>
  <c r="E72" i="28" s="1"/>
  <c r="C96" i="28"/>
  <c r="G96" i="28" s="1"/>
  <c r="E60" i="28"/>
  <c r="E79" i="28" s="1"/>
  <c r="E67" i="27"/>
  <c r="E69" i="27" s="1"/>
  <c r="E70" i="27" s="1"/>
  <c r="G19" i="27"/>
  <c r="I19" i="27"/>
  <c r="F19" i="27"/>
  <c r="F11" i="27" s="1"/>
  <c r="E40" i="27"/>
  <c r="E41" i="27" s="1"/>
  <c r="E45" i="27" s="1"/>
  <c r="E56" i="27" s="1"/>
  <c r="E43" i="27"/>
  <c r="H19" i="27"/>
  <c r="H11" i="27" s="1"/>
  <c r="E92" i="27"/>
  <c r="J19" i="27"/>
  <c r="J11" i="27" s="1"/>
  <c r="F19" i="26"/>
  <c r="F11" i="26" s="1"/>
  <c r="G19" i="26"/>
  <c r="G11" i="26" s="1"/>
  <c r="C94" i="26"/>
  <c r="H19" i="26"/>
  <c r="H11" i="26" s="1"/>
  <c r="I19" i="26"/>
  <c r="I11" i="26" s="1"/>
  <c r="E43" i="26"/>
  <c r="E92" i="26"/>
  <c r="J19" i="26"/>
  <c r="J11" i="26" s="1"/>
  <c r="E67" i="26"/>
  <c r="E69" i="26" s="1"/>
  <c r="E70" i="26" s="1"/>
  <c r="C94" i="25"/>
  <c r="E67" i="25"/>
  <c r="E69" i="25" s="1"/>
  <c r="E70" i="25" s="1"/>
  <c r="J19" i="25"/>
  <c r="F19" i="25"/>
  <c r="I19" i="25"/>
  <c r="G19" i="25"/>
  <c r="E43" i="25"/>
  <c r="H19" i="25"/>
  <c r="E92" i="25"/>
  <c r="E38" i="26" l="1"/>
  <c r="E40" i="26" s="1"/>
  <c r="E41" i="26" s="1"/>
  <c r="E45" i="26" s="1"/>
  <c r="E56" i="26" s="1"/>
  <c r="E38" i="25"/>
  <c r="E40" i="25" s="1"/>
  <c r="E41" i="25" s="1"/>
  <c r="E45" i="25" s="1"/>
  <c r="E56" i="25" s="1"/>
  <c r="J92" i="25"/>
  <c r="C95" i="25" s="1"/>
  <c r="C96" i="25" s="1"/>
  <c r="J11" i="25"/>
  <c r="E9" i="25" s="1"/>
  <c r="F108" i="25"/>
  <c r="F11" i="25"/>
  <c r="H108" i="25"/>
  <c r="H11" i="25"/>
  <c r="G108" i="25"/>
  <c r="G11" i="25"/>
  <c r="I108" i="25"/>
  <c r="I11" i="25"/>
  <c r="G67" i="27"/>
  <c r="G69" i="27" s="1"/>
  <c r="G70" i="27" s="1"/>
  <c r="G11" i="27"/>
  <c r="I43" i="27"/>
  <c r="I11" i="27"/>
  <c r="H96" i="28"/>
  <c r="H30" i="28" s="1"/>
  <c r="H47" i="28" s="1"/>
  <c r="F96" i="28"/>
  <c r="F97" i="28" s="1"/>
  <c r="G97" i="28" s="1"/>
  <c r="I96" i="28"/>
  <c r="I30" i="28" s="1"/>
  <c r="I47" i="28" s="1"/>
  <c r="J96" i="28"/>
  <c r="J30" i="28" s="1"/>
  <c r="J47" i="28" s="1"/>
  <c r="I92" i="27"/>
  <c r="I67" i="27"/>
  <c r="I69" i="27" s="1"/>
  <c r="I70" i="27" s="1"/>
  <c r="G30" i="28"/>
  <c r="G47" i="28" s="1"/>
  <c r="F92" i="27"/>
  <c r="F67" i="27"/>
  <c r="F69" i="27" s="1"/>
  <c r="F70" i="27" s="1"/>
  <c r="G43" i="27"/>
  <c r="G92" i="27"/>
  <c r="F43" i="27"/>
  <c r="J43" i="27"/>
  <c r="J67" i="27"/>
  <c r="J69" i="27" s="1"/>
  <c r="J70" i="27" s="1"/>
  <c r="J92" i="27"/>
  <c r="C95" i="27" s="1"/>
  <c r="C96" i="27" s="1"/>
  <c r="E58" i="27"/>
  <c r="E72" i="27" s="1"/>
  <c r="E59" i="27"/>
  <c r="H43" i="27"/>
  <c r="H67" i="27"/>
  <c r="H69" i="27" s="1"/>
  <c r="H70" i="27" s="1"/>
  <c r="H92" i="27"/>
  <c r="G92" i="26"/>
  <c r="G43" i="26"/>
  <c r="G108" i="26"/>
  <c r="G67" i="26"/>
  <c r="G69" i="26" s="1"/>
  <c r="G70" i="26" s="1"/>
  <c r="F67" i="26"/>
  <c r="F69" i="26" s="1"/>
  <c r="F70" i="26" s="1"/>
  <c r="F92" i="26"/>
  <c r="F43" i="26"/>
  <c r="F108" i="26"/>
  <c r="J108" i="26"/>
  <c r="J67" i="26"/>
  <c r="J69" i="26" s="1"/>
  <c r="J70" i="26" s="1"/>
  <c r="J92" i="26"/>
  <c r="C95" i="26" s="1"/>
  <c r="C96" i="26" s="1"/>
  <c r="J43" i="26"/>
  <c r="H92" i="26"/>
  <c r="H108" i="26"/>
  <c r="H67" i="26"/>
  <c r="H69" i="26" s="1"/>
  <c r="H70" i="26" s="1"/>
  <c r="H43" i="26"/>
  <c r="I108" i="26"/>
  <c r="I67" i="26"/>
  <c r="I69" i="26" s="1"/>
  <c r="I70" i="26" s="1"/>
  <c r="I92" i="26"/>
  <c r="I43" i="26"/>
  <c r="J43" i="25"/>
  <c r="J108" i="25"/>
  <c r="J67" i="25"/>
  <c r="J69" i="25" s="1"/>
  <c r="J70" i="25" s="1"/>
  <c r="I92" i="25"/>
  <c r="F43" i="25"/>
  <c r="G43" i="25"/>
  <c r="G92" i="25"/>
  <c r="G67" i="25"/>
  <c r="G69" i="25" s="1"/>
  <c r="G70" i="25" s="1"/>
  <c r="I43" i="25"/>
  <c r="I67" i="25"/>
  <c r="I69" i="25" s="1"/>
  <c r="I70" i="25" s="1"/>
  <c r="F92" i="25"/>
  <c r="F67" i="25"/>
  <c r="F69" i="25" s="1"/>
  <c r="F70" i="25" s="1"/>
  <c r="H43" i="25"/>
  <c r="H67" i="25"/>
  <c r="H69" i="25" s="1"/>
  <c r="H70" i="25" s="1"/>
  <c r="H92" i="25"/>
  <c r="E58" i="25" l="1"/>
  <c r="E72" i="25" s="1"/>
  <c r="E59" i="25"/>
  <c r="E60" i="25" s="1"/>
  <c r="E58" i="26"/>
  <c r="E72" i="26" s="1"/>
  <c r="E59" i="26"/>
  <c r="E60" i="26" s="1"/>
  <c r="J102" i="28"/>
  <c r="J32" i="28"/>
  <c r="I102" i="28"/>
  <c r="I32" i="28"/>
  <c r="I38" i="28" s="1"/>
  <c r="H102" i="28"/>
  <c r="H32" i="28"/>
  <c r="H38" i="28" s="1"/>
  <c r="G102" i="28"/>
  <c r="G32" i="28"/>
  <c r="G38" i="28" s="1"/>
  <c r="C111" i="25"/>
  <c r="C112" i="25" s="1"/>
  <c r="F30" i="28"/>
  <c r="F47" i="28" s="1"/>
  <c r="H97" i="28"/>
  <c r="I97" i="28" s="1"/>
  <c r="C111" i="26"/>
  <c r="C112" i="26" s="1"/>
  <c r="G98" i="28"/>
  <c r="G99" i="28"/>
  <c r="F98" i="28"/>
  <c r="F99" i="28"/>
  <c r="E60" i="27"/>
  <c r="F96" i="27"/>
  <c r="F30" i="27" s="1"/>
  <c r="G96" i="27"/>
  <c r="J96" i="27"/>
  <c r="I96" i="27"/>
  <c r="I30" i="27" s="1"/>
  <c r="H96" i="27"/>
  <c r="G96" i="26"/>
  <c r="F96" i="26"/>
  <c r="H96" i="26"/>
  <c r="J96" i="26"/>
  <c r="I96" i="26"/>
  <c r="F96" i="25"/>
  <c r="G96" i="25"/>
  <c r="J96" i="25"/>
  <c r="I96" i="25"/>
  <c r="H96" i="25"/>
  <c r="F102" i="28" l="1"/>
  <c r="F103" i="28" s="1"/>
  <c r="F104" i="28" s="1"/>
  <c r="F32" i="28"/>
  <c r="G112" i="25"/>
  <c r="G21" i="25" s="1"/>
  <c r="G23" i="25" s="1"/>
  <c r="G25" i="25" s="1"/>
  <c r="F112" i="25"/>
  <c r="F21" i="25" s="1"/>
  <c r="F23" i="25" s="1"/>
  <c r="F25" i="25" s="1"/>
  <c r="H112" i="25"/>
  <c r="H21" i="25" s="1"/>
  <c r="H23" i="25" s="1"/>
  <c r="H25" i="25" s="1"/>
  <c r="I112" i="25"/>
  <c r="I21" i="25" s="1"/>
  <c r="I27" i="25" s="1"/>
  <c r="J112" i="25"/>
  <c r="J21" i="25" s="1"/>
  <c r="J27" i="25" s="1"/>
  <c r="I32" i="27"/>
  <c r="I38" i="27" s="1"/>
  <c r="I47" i="27"/>
  <c r="F32" i="27"/>
  <c r="F38" i="27" s="1"/>
  <c r="F47" i="27"/>
  <c r="H99" i="28"/>
  <c r="H98" i="28"/>
  <c r="I40" i="28"/>
  <c r="I41" i="28" s="1"/>
  <c r="I45" i="28" s="1"/>
  <c r="I56" i="28" s="1"/>
  <c r="H40" i="28"/>
  <c r="H41" i="28" s="1"/>
  <c r="H45" i="28" s="1"/>
  <c r="H56" i="28" s="1"/>
  <c r="G40" i="28"/>
  <c r="G41" i="28" s="1"/>
  <c r="G45" i="28" s="1"/>
  <c r="G56" i="28" s="1"/>
  <c r="I99" i="28"/>
  <c r="I98" i="28"/>
  <c r="J97" i="28"/>
  <c r="E79" i="26"/>
  <c r="AI9" i="19"/>
  <c r="E79" i="25"/>
  <c r="AI7" i="19"/>
  <c r="E79" i="27"/>
  <c r="AI10" i="19"/>
  <c r="F102" i="27"/>
  <c r="F103" i="27" s="1"/>
  <c r="F104" i="27" s="1"/>
  <c r="F97" i="27"/>
  <c r="G30" i="27"/>
  <c r="G47" i="27" s="1"/>
  <c r="H30" i="27"/>
  <c r="H47" i="27" s="1"/>
  <c r="I102" i="27"/>
  <c r="J30" i="27"/>
  <c r="J47" i="27" s="1"/>
  <c r="H30" i="26"/>
  <c r="H47" i="26" s="1"/>
  <c r="F97" i="26"/>
  <c r="F30" i="26"/>
  <c r="F47" i="26" s="1"/>
  <c r="G112" i="26"/>
  <c r="G21" i="26" s="1"/>
  <c r="F112" i="26"/>
  <c r="F21" i="26" s="1"/>
  <c r="J112" i="26"/>
  <c r="J21" i="26" s="1"/>
  <c r="I112" i="26"/>
  <c r="I21" i="26" s="1"/>
  <c r="H112" i="26"/>
  <c r="H21" i="26" s="1"/>
  <c r="J30" i="26"/>
  <c r="J47" i="26" s="1"/>
  <c r="I30" i="26"/>
  <c r="I47" i="26" s="1"/>
  <c r="G30" i="26"/>
  <c r="G47" i="26" s="1"/>
  <c r="I30" i="25"/>
  <c r="F30" i="25"/>
  <c r="F47" i="25" s="1"/>
  <c r="F97" i="25"/>
  <c r="H30" i="25"/>
  <c r="J30" i="25"/>
  <c r="G30" i="25"/>
  <c r="F27" i="25" l="1"/>
  <c r="F32" i="25" s="1"/>
  <c r="F38" i="25" s="1"/>
  <c r="I23" i="25"/>
  <c r="I25" i="25" s="1"/>
  <c r="G27" i="25"/>
  <c r="G32" i="25" s="1"/>
  <c r="G38" i="25" s="1"/>
  <c r="G102" i="25"/>
  <c r="G47" i="25"/>
  <c r="J32" i="25"/>
  <c r="H102" i="25"/>
  <c r="H47" i="25"/>
  <c r="J23" i="25"/>
  <c r="J25" i="25" s="1"/>
  <c r="H27" i="25"/>
  <c r="H32" i="25" s="1"/>
  <c r="H38" i="25" s="1"/>
  <c r="J102" i="25"/>
  <c r="J47" i="25"/>
  <c r="I102" i="25"/>
  <c r="I47" i="25"/>
  <c r="F38" i="28"/>
  <c r="F40" i="28" s="1"/>
  <c r="F41" i="28" s="1"/>
  <c r="F45" i="28" s="1"/>
  <c r="F56" i="28" s="1"/>
  <c r="F58" i="28" s="1"/>
  <c r="F72" i="28" s="1"/>
  <c r="F73" i="28" s="1"/>
  <c r="I32" i="25"/>
  <c r="G103" i="28"/>
  <c r="G104" i="28" s="1"/>
  <c r="G102" i="27"/>
  <c r="G103" i="27" s="1"/>
  <c r="G32" i="27"/>
  <c r="G38" i="27" s="1"/>
  <c r="H102" i="27"/>
  <c r="H32" i="27"/>
  <c r="H38" i="27" s="1"/>
  <c r="J102" i="27"/>
  <c r="J32" i="27"/>
  <c r="G97" i="27"/>
  <c r="G98" i="27" s="1"/>
  <c r="F102" i="26"/>
  <c r="F103" i="26" s="1"/>
  <c r="F104" i="26" s="1"/>
  <c r="I102" i="26"/>
  <c r="J102" i="26"/>
  <c r="G102" i="26"/>
  <c r="H102" i="26"/>
  <c r="F102" i="25"/>
  <c r="F103" i="25" s="1"/>
  <c r="F104" i="25" s="1"/>
  <c r="H59" i="28"/>
  <c r="J99" i="28"/>
  <c r="J100" i="28" s="1"/>
  <c r="J98" i="28"/>
  <c r="G59" i="28"/>
  <c r="I59" i="28"/>
  <c r="F98" i="27"/>
  <c r="F99" i="27"/>
  <c r="F98" i="26"/>
  <c r="F99" i="26"/>
  <c r="J23" i="26"/>
  <c r="J25" i="26" s="1"/>
  <c r="J27" i="26"/>
  <c r="J32" i="26" s="1"/>
  <c r="G97" i="26"/>
  <c r="F23" i="26"/>
  <c r="F25" i="26" s="1"/>
  <c r="F27" i="26"/>
  <c r="F32" i="26" s="1"/>
  <c r="H23" i="26"/>
  <c r="H25" i="26" s="1"/>
  <c r="H27" i="26"/>
  <c r="H32" i="26" s="1"/>
  <c r="G27" i="26"/>
  <c r="G32" i="26" s="1"/>
  <c r="G23" i="26"/>
  <c r="G25" i="26" s="1"/>
  <c r="I23" i="26"/>
  <c r="I25" i="26" s="1"/>
  <c r="I27" i="26"/>
  <c r="I32" i="26" s="1"/>
  <c r="F98" i="25"/>
  <c r="F99" i="25"/>
  <c r="G97" i="25"/>
  <c r="I38" i="25" l="1"/>
  <c r="I40" i="25" s="1"/>
  <c r="I41" i="25" s="1"/>
  <c r="I45" i="25" s="1"/>
  <c r="I56" i="25" s="1"/>
  <c r="I38" i="26"/>
  <c r="I40" i="26" s="1"/>
  <c r="I41" i="26" s="1"/>
  <c r="I45" i="26" s="1"/>
  <c r="I56" i="26" s="1"/>
  <c r="G38" i="26"/>
  <c r="G40" i="26" s="1"/>
  <c r="G41" i="26" s="1"/>
  <c r="G45" i="26" s="1"/>
  <c r="G56" i="26" s="1"/>
  <c r="H38" i="26"/>
  <c r="H40" i="26" s="1"/>
  <c r="H41" i="26" s="1"/>
  <c r="H45" i="26" s="1"/>
  <c r="H56" i="26" s="1"/>
  <c r="F38" i="26"/>
  <c r="F40" i="26" s="1"/>
  <c r="F41" i="26" s="1"/>
  <c r="F45" i="26" s="1"/>
  <c r="F56" i="26" s="1"/>
  <c r="H103" i="28"/>
  <c r="H104" i="28" s="1"/>
  <c r="H103" i="27"/>
  <c r="I103" i="27" s="1"/>
  <c r="H97" i="27"/>
  <c r="G99" i="27"/>
  <c r="F59" i="28"/>
  <c r="F60" i="28" s="1"/>
  <c r="F79" i="28" s="1"/>
  <c r="F80" i="28" s="1"/>
  <c r="G103" i="26"/>
  <c r="G104" i="26" s="1"/>
  <c r="G103" i="25"/>
  <c r="G40" i="25"/>
  <c r="G41" i="25" s="1"/>
  <c r="G45" i="25" s="1"/>
  <c r="G56" i="25" s="1"/>
  <c r="H40" i="25"/>
  <c r="H41" i="25" s="1"/>
  <c r="H45" i="25" s="1"/>
  <c r="H56" i="25" s="1"/>
  <c r="F40" i="25"/>
  <c r="F41" i="25" s="1"/>
  <c r="F45" i="25" s="1"/>
  <c r="F56" i="25" s="1"/>
  <c r="G104" i="27"/>
  <c r="I40" i="27"/>
  <c r="I41" i="27" s="1"/>
  <c r="I45" i="27" s="1"/>
  <c r="I56" i="27" s="1"/>
  <c r="G40" i="27"/>
  <c r="G41" i="27" s="1"/>
  <c r="G45" i="27" s="1"/>
  <c r="G56" i="27" s="1"/>
  <c r="F40" i="27"/>
  <c r="F41" i="27" s="1"/>
  <c r="F45" i="27" s="1"/>
  <c r="F56" i="27" s="1"/>
  <c r="H40" i="27"/>
  <c r="H41" i="27" s="1"/>
  <c r="H45" i="27" s="1"/>
  <c r="H56" i="27" s="1"/>
  <c r="G58" i="28"/>
  <c r="G72" i="28" s="1"/>
  <c r="G73" i="28" s="1"/>
  <c r="G98" i="26"/>
  <c r="G99" i="26"/>
  <c r="H97" i="26"/>
  <c r="G98" i="25"/>
  <c r="G99" i="25"/>
  <c r="H97" i="25"/>
  <c r="I103" i="28" l="1"/>
  <c r="I104" i="28" s="1"/>
  <c r="H104" i="27"/>
  <c r="H99" i="27"/>
  <c r="H98" i="27"/>
  <c r="I97" i="27"/>
  <c r="H103" i="26"/>
  <c r="G104" i="25"/>
  <c r="H103" i="25"/>
  <c r="J103" i="27"/>
  <c r="J104" i="27" s="1"/>
  <c r="J106" i="27" s="1"/>
  <c r="J34" i="27" s="1"/>
  <c r="I104" i="27"/>
  <c r="G60" i="28"/>
  <c r="G79" i="28" s="1"/>
  <c r="G80" i="28" s="1"/>
  <c r="H58" i="28"/>
  <c r="H72" i="28" s="1"/>
  <c r="H73" i="28" s="1"/>
  <c r="I59" i="27"/>
  <c r="H59" i="27"/>
  <c r="G59" i="27"/>
  <c r="F58" i="27"/>
  <c r="F72" i="27" s="1"/>
  <c r="F73" i="27" s="1"/>
  <c r="F59" i="27"/>
  <c r="H59" i="26"/>
  <c r="I59" i="26"/>
  <c r="G59" i="26"/>
  <c r="F58" i="26"/>
  <c r="F72" i="26" s="1"/>
  <c r="F73" i="26" s="1"/>
  <c r="F59" i="26"/>
  <c r="H98" i="26"/>
  <c r="H99" i="26"/>
  <c r="I97" i="26"/>
  <c r="I59" i="25"/>
  <c r="F58" i="25"/>
  <c r="F72" i="25" s="1"/>
  <c r="F73" i="25" s="1"/>
  <c r="F59" i="25"/>
  <c r="G59" i="25"/>
  <c r="H98" i="25"/>
  <c r="H99" i="25"/>
  <c r="I97" i="25"/>
  <c r="H59" i="25"/>
  <c r="J103" i="28" l="1"/>
  <c r="J104" i="28" s="1"/>
  <c r="J106" i="28" s="1"/>
  <c r="J34" i="28" s="1"/>
  <c r="J48" i="28" s="1"/>
  <c r="J38" i="27"/>
  <c r="J40" i="27" s="1"/>
  <c r="J41" i="27" s="1"/>
  <c r="J45" i="27" s="1"/>
  <c r="J48" i="27"/>
  <c r="I98" i="27"/>
  <c r="I99" i="27"/>
  <c r="J97" i="27"/>
  <c r="H104" i="26"/>
  <c r="I103" i="26"/>
  <c r="H104" i="25"/>
  <c r="I103" i="25"/>
  <c r="H60" i="28"/>
  <c r="H79" i="28" s="1"/>
  <c r="H80" i="28" s="1"/>
  <c r="I58" i="28"/>
  <c r="I72" i="28" s="1"/>
  <c r="I73" i="28" s="1"/>
  <c r="G58" i="27"/>
  <c r="G72" i="27" s="1"/>
  <c r="G73" i="27" s="1"/>
  <c r="F60" i="27"/>
  <c r="G58" i="26"/>
  <c r="I98" i="26"/>
  <c r="I99" i="26"/>
  <c r="J97" i="26"/>
  <c r="F60" i="26"/>
  <c r="G58" i="25"/>
  <c r="G72" i="25" s="1"/>
  <c r="G73" i="25" s="1"/>
  <c r="F60" i="25"/>
  <c r="I98" i="25"/>
  <c r="I99" i="25"/>
  <c r="J97" i="25"/>
  <c r="J38" i="28" l="1"/>
  <c r="J40" i="28" s="1"/>
  <c r="J41" i="28" s="1"/>
  <c r="J45" i="28" s="1"/>
  <c r="J98" i="27"/>
  <c r="J99" i="27"/>
  <c r="J100" i="27" s="1"/>
  <c r="I104" i="26"/>
  <c r="J103" i="26"/>
  <c r="J104" i="26" s="1"/>
  <c r="J106" i="26" s="1"/>
  <c r="J34" i="26" s="1"/>
  <c r="J103" i="25"/>
  <c r="J104" i="25" s="1"/>
  <c r="J106" i="25" s="1"/>
  <c r="J34" i="25" s="1"/>
  <c r="I104" i="25"/>
  <c r="J56" i="27"/>
  <c r="I60" i="28"/>
  <c r="I79" i="28" s="1"/>
  <c r="I80" i="28" s="1"/>
  <c r="F79" i="27"/>
  <c r="F80" i="27" s="1"/>
  <c r="AJ10" i="19"/>
  <c r="F79" i="26"/>
  <c r="F80" i="26" s="1"/>
  <c r="AJ9" i="19"/>
  <c r="F79" i="25"/>
  <c r="F80" i="25" s="1"/>
  <c r="AJ7" i="19"/>
  <c r="H58" i="27"/>
  <c r="I58" i="27" s="1"/>
  <c r="G60" i="27"/>
  <c r="G60" i="26"/>
  <c r="G72" i="26"/>
  <c r="G73" i="26" s="1"/>
  <c r="H58" i="26"/>
  <c r="J98" i="26"/>
  <c r="J99" i="26"/>
  <c r="J100" i="26" s="1"/>
  <c r="H58" i="25"/>
  <c r="H72" i="25" s="1"/>
  <c r="H73" i="25" s="1"/>
  <c r="G60" i="25"/>
  <c r="AK7" i="19" s="1"/>
  <c r="J98" i="25"/>
  <c r="J99" i="25"/>
  <c r="J100" i="25" s="1"/>
  <c r="J38" i="25" l="1"/>
  <c r="J40" i="25" s="1"/>
  <c r="J41" i="25" s="1"/>
  <c r="J45" i="25" s="1"/>
  <c r="J48" i="25"/>
  <c r="J38" i="26"/>
  <c r="J40" i="26" s="1"/>
  <c r="J41" i="26" s="1"/>
  <c r="J45" i="26" s="1"/>
  <c r="J48" i="26"/>
  <c r="J56" i="28"/>
  <c r="J59" i="28" s="1"/>
  <c r="E62" i="28" s="1"/>
  <c r="BI4" i="19" s="1"/>
  <c r="AX13" i="19" s="1"/>
  <c r="AZ13" i="19" s="1"/>
  <c r="J59" i="27"/>
  <c r="E62" i="27" s="1"/>
  <c r="E88" i="27" s="1"/>
  <c r="E87" i="27"/>
  <c r="E65" i="27"/>
  <c r="N11" i="19" s="1"/>
  <c r="G79" i="27"/>
  <c r="G80" i="27" s="1"/>
  <c r="AK10" i="19"/>
  <c r="G79" i="26"/>
  <c r="G80" i="26" s="1"/>
  <c r="AK9" i="19"/>
  <c r="H72" i="27"/>
  <c r="H73" i="27" s="1"/>
  <c r="H60" i="27"/>
  <c r="I72" i="27"/>
  <c r="J58" i="27"/>
  <c r="H60" i="26"/>
  <c r="H72" i="26"/>
  <c r="H73" i="26" s="1"/>
  <c r="I58" i="26"/>
  <c r="I58" i="25"/>
  <c r="I72" i="25" s="1"/>
  <c r="I73" i="25" s="1"/>
  <c r="G79" i="25"/>
  <c r="G80" i="25" s="1"/>
  <c r="H60" i="25"/>
  <c r="AL7" i="19" s="1"/>
  <c r="E65" i="28" l="1"/>
  <c r="AW4" i="19"/>
  <c r="AY9" i="19" s="1"/>
  <c r="BA9" i="19" s="1"/>
  <c r="AZ4" i="19"/>
  <c r="AX10" i="19" s="1"/>
  <c r="AZ10" i="19" s="1"/>
  <c r="J60" i="28"/>
  <c r="J79" i="28" s="1"/>
  <c r="J80" i="28" s="1"/>
  <c r="BC4" i="19"/>
  <c r="AX11" i="19" s="1"/>
  <c r="AZ11" i="19" s="1"/>
  <c r="AY13" i="19"/>
  <c r="BA13" i="19" s="1"/>
  <c r="E88" i="28"/>
  <c r="E87" i="28"/>
  <c r="BF4" i="19"/>
  <c r="AX12" i="19" s="1"/>
  <c r="AZ12" i="19" s="1"/>
  <c r="J58" i="28"/>
  <c r="J72" i="28" s="1"/>
  <c r="E74" i="28" s="1"/>
  <c r="E75" i="28" s="1"/>
  <c r="E76" i="28" s="1"/>
  <c r="E89" i="27"/>
  <c r="K11" i="19"/>
  <c r="AH16" i="19" s="1"/>
  <c r="J56" i="26"/>
  <c r="J58" i="26" s="1"/>
  <c r="J56" i="25"/>
  <c r="E87" i="25" s="1"/>
  <c r="H79" i="27"/>
  <c r="H80" i="27" s="1"/>
  <c r="AL10" i="19"/>
  <c r="H79" i="26"/>
  <c r="H80" i="26" s="1"/>
  <c r="AL9" i="19"/>
  <c r="I73" i="27"/>
  <c r="I60" i="27"/>
  <c r="J72" i="27"/>
  <c r="I60" i="26"/>
  <c r="I72" i="26"/>
  <c r="I73" i="26" s="1"/>
  <c r="H79" i="25"/>
  <c r="H80" i="25" s="1"/>
  <c r="I60" i="25"/>
  <c r="AM7" i="19" s="1"/>
  <c r="E89" i="28" l="1"/>
  <c r="J73" i="28"/>
  <c r="E81" i="28"/>
  <c r="E82" i="28" s="1"/>
  <c r="E83" i="28" s="1"/>
  <c r="AY11" i="19"/>
  <c r="BA11" i="19" s="1"/>
  <c r="AX9" i="19"/>
  <c r="AZ9" i="19" s="1"/>
  <c r="AY10" i="19"/>
  <c r="BA10" i="19" s="1"/>
  <c r="AY12" i="19"/>
  <c r="BA12" i="19" s="1"/>
  <c r="J59" i="26"/>
  <c r="E62" i="26" s="1"/>
  <c r="E65" i="26"/>
  <c r="N10" i="19" s="1"/>
  <c r="E87" i="26"/>
  <c r="J59" i="25"/>
  <c r="E62" i="25" s="1"/>
  <c r="E88" i="25" s="1"/>
  <c r="E89" i="25" s="1"/>
  <c r="J58" i="25"/>
  <c r="J72" i="25" s="1"/>
  <c r="E65" i="25"/>
  <c r="N8" i="19" s="1"/>
  <c r="E74" i="27"/>
  <c r="J73" i="27"/>
  <c r="I79" i="27"/>
  <c r="I80" i="27" s="1"/>
  <c r="AM10" i="19"/>
  <c r="I79" i="26"/>
  <c r="I80" i="26" s="1"/>
  <c r="AM9" i="19"/>
  <c r="J60" i="27"/>
  <c r="J72" i="26"/>
  <c r="I79" i="25"/>
  <c r="I80" i="25" s="1"/>
  <c r="BC10" i="19" l="1"/>
  <c r="BD10" i="19" s="1"/>
  <c r="BF10" i="19" s="1"/>
  <c r="BC12" i="19"/>
  <c r="BD12" i="19" s="1"/>
  <c r="BG12" i="19" s="1"/>
  <c r="BC11" i="19"/>
  <c r="BD11" i="19" s="1"/>
  <c r="BF11" i="19" s="1"/>
  <c r="BC9" i="19"/>
  <c r="BD9" i="19" s="1"/>
  <c r="BG9" i="19" s="1"/>
  <c r="BC13" i="19"/>
  <c r="BD13" i="19" s="1"/>
  <c r="BG13" i="19" s="1"/>
  <c r="J60" i="26"/>
  <c r="J79" i="26" s="1"/>
  <c r="E88" i="26"/>
  <c r="E89" i="26" s="1"/>
  <c r="K10" i="19"/>
  <c r="AH15" i="19" s="1"/>
  <c r="J60" i="25"/>
  <c r="AN7" i="19" s="1"/>
  <c r="K8" i="19"/>
  <c r="AH13" i="19" s="1"/>
  <c r="J73" i="25"/>
  <c r="E74" i="25"/>
  <c r="E75" i="25" s="1"/>
  <c r="E76" i="25" s="1"/>
  <c r="J73" i="26"/>
  <c r="E74" i="26"/>
  <c r="E75" i="26" s="1"/>
  <c r="E76" i="26" s="1"/>
  <c r="AN10" i="19"/>
  <c r="J79" i="27"/>
  <c r="BG10" i="19" l="1"/>
  <c r="BF9" i="19"/>
  <c r="BF12" i="19"/>
  <c r="BF13" i="19"/>
  <c r="BG11" i="19"/>
  <c r="AN9" i="19"/>
  <c r="J79" i="25"/>
  <c r="J80" i="25" s="1"/>
  <c r="J80" i="26"/>
  <c r="E81" i="26"/>
  <c r="E82" i="26" s="1"/>
  <c r="E81" i="27"/>
  <c r="E82" i="27" s="1"/>
  <c r="J80" i="27"/>
  <c r="E83" i="26" l="1"/>
  <c r="E81" i="25"/>
  <c r="E82" i="25" s="1"/>
  <c r="E83" i="25" s="1"/>
  <c r="E83" i="27"/>
  <c r="E77" i="28" l="1"/>
  <c r="E63" i="28" s="1"/>
  <c r="E84" i="28" l="1"/>
  <c r="E64" i="28" s="1"/>
  <c r="E75" i="27"/>
  <c r="E76" i="27" s="1"/>
  <c r="E77" i="27" l="1"/>
  <c r="E63" i="27" s="1"/>
  <c r="L11" i="19" s="1"/>
  <c r="E77" i="25"/>
  <c r="E63" i="25" s="1"/>
  <c r="L8" i="19" s="1"/>
  <c r="E84" i="27" l="1"/>
  <c r="E64" i="27" s="1"/>
  <c r="M11" i="19" s="1"/>
  <c r="E84" i="26"/>
  <c r="E64" i="26" s="1"/>
  <c r="E77" i="26"/>
  <c r="E63" i="26" s="1"/>
  <c r="L10" i="19" l="1"/>
  <c r="M10" i="19"/>
  <c r="E84" i="25" l="1"/>
  <c r="E64" i="25" s="1"/>
  <c r="M8" i="19" s="1"/>
  <c r="H9" i="19" l="1"/>
  <c r="E94" i="12"/>
  <c r="F9" i="19"/>
  <c r="C94" i="12" l="1"/>
  <c r="I9" i="19"/>
  <c r="E9" i="19"/>
  <c r="E40" i="12" l="1"/>
  <c r="J27" i="12"/>
  <c r="I27" i="12"/>
  <c r="H27" i="12"/>
  <c r="G27" i="12"/>
  <c r="F27" i="12"/>
  <c r="J23" i="12"/>
  <c r="J25" i="12" s="1"/>
  <c r="I23" i="12"/>
  <c r="I25" i="12" s="1"/>
  <c r="H23" i="12"/>
  <c r="H25" i="12" s="1"/>
  <c r="G23" i="12"/>
  <c r="G25" i="12" s="1"/>
  <c r="F23" i="12"/>
  <c r="F25" i="12" s="1"/>
  <c r="E19" i="12"/>
  <c r="E11" i="12" s="1"/>
  <c r="J19" i="12" l="1"/>
  <c r="I19" i="12"/>
  <c r="H19" i="12"/>
  <c r="G19" i="12"/>
  <c r="F19" i="12"/>
  <c r="F11" i="12" s="1"/>
  <c r="E43" i="12"/>
  <c r="E92" i="12"/>
  <c r="E67" i="12"/>
  <c r="E69" i="12" s="1"/>
  <c r="E70" i="12" s="1"/>
  <c r="E41" i="12"/>
  <c r="E45" i="12" s="1"/>
  <c r="E56" i="12" s="1"/>
  <c r="AK3" i="19" l="1"/>
  <c r="G11" i="12"/>
  <c r="AN3" i="19"/>
  <c r="J11" i="12"/>
  <c r="E9" i="12" s="1"/>
  <c r="AL3" i="19"/>
  <c r="H11" i="12"/>
  <c r="AM3" i="19"/>
  <c r="I11" i="12"/>
  <c r="F92" i="12"/>
  <c r="AJ3" i="19"/>
  <c r="E59" i="12"/>
  <c r="E60" i="12" s="1"/>
  <c r="F67" i="12"/>
  <c r="F69" i="12" s="1"/>
  <c r="F70" i="12" s="1"/>
  <c r="F43" i="12"/>
  <c r="E58" i="12"/>
  <c r="E72" i="12" s="1"/>
  <c r="E79" i="12" l="1"/>
  <c r="AI8" i="19"/>
  <c r="G92" i="12"/>
  <c r="H92" i="12"/>
  <c r="G67" i="12"/>
  <c r="G69" i="12" s="1"/>
  <c r="G70" i="12" s="1"/>
  <c r="G43" i="12"/>
  <c r="I92" i="12" l="1"/>
  <c r="H67" i="12"/>
  <c r="H69" i="12" s="1"/>
  <c r="H70" i="12" s="1"/>
  <c r="H43" i="12"/>
  <c r="I67" i="12" l="1"/>
  <c r="I69" i="12" s="1"/>
  <c r="I70" i="12" s="1"/>
  <c r="I43" i="12"/>
  <c r="J92" i="12" l="1"/>
  <c r="C95" i="12" s="1"/>
  <c r="J67" i="12"/>
  <c r="J69" i="12" s="1"/>
  <c r="J70" i="12" s="1"/>
  <c r="J43" i="12"/>
  <c r="C96" i="12" l="1"/>
  <c r="H96" i="12" l="1"/>
  <c r="H30" i="12" s="1"/>
  <c r="I96" i="12"/>
  <c r="F96" i="12"/>
  <c r="G96" i="12"/>
  <c r="J96" i="12"/>
  <c r="J30" i="12" s="1"/>
  <c r="J102" i="12" l="1"/>
  <c r="J47" i="12"/>
  <c r="J32" i="12"/>
  <c r="H102" i="12"/>
  <c r="H47" i="12"/>
  <c r="H32" i="12"/>
  <c r="H38" i="12" s="1"/>
  <c r="G30" i="12"/>
  <c r="I30" i="12"/>
  <c r="F97" i="12"/>
  <c r="G97" i="12" s="1"/>
  <c r="H97" i="12" s="1"/>
  <c r="I97" i="12" s="1"/>
  <c r="J97" i="12" s="1"/>
  <c r="F30" i="12"/>
  <c r="I102" i="12" l="1"/>
  <c r="I47" i="12"/>
  <c r="I32" i="12"/>
  <c r="I38" i="12" s="1"/>
  <c r="G102" i="12"/>
  <c r="G47" i="12"/>
  <c r="G32" i="12"/>
  <c r="G38" i="12" s="1"/>
  <c r="F102" i="12"/>
  <c r="F103" i="12" s="1"/>
  <c r="F104" i="12" s="1"/>
  <c r="F47" i="12"/>
  <c r="F32" i="12"/>
  <c r="F38" i="12" s="1"/>
  <c r="H40" i="12"/>
  <c r="H41" i="12" s="1"/>
  <c r="H45" i="12" s="1"/>
  <c r="H56" i="12" s="1"/>
  <c r="H59" i="12" s="1"/>
  <c r="G99" i="12"/>
  <c r="G98" i="12"/>
  <c r="F98" i="12"/>
  <c r="F99" i="12"/>
  <c r="G103" i="12" l="1"/>
  <c r="G104" i="12" s="1"/>
  <c r="I40" i="12"/>
  <c r="I41" i="12" s="1"/>
  <c r="I45" i="12" s="1"/>
  <c r="I56" i="12" s="1"/>
  <c r="I59" i="12" s="1"/>
  <c r="F40" i="12"/>
  <c r="F41" i="12" s="1"/>
  <c r="F45" i="12" s="1"/>
  <c r="F56" i="12" s="1"/>
  <c r="G40" i="12"/>
  <c r="G41" i="12" s="1"/>
  <c r="G45" i="12" s="1"/>
  <c r="G56" i="12" s="1"/>
  <c r="G59" i="12" s="1"/>
  <c r="H98" i="12"/>
  <c r="H99" i="12"/>
  <c r="H103" i="12" l="1"/>
  <c r="H104" i="12" s="1"/>
  <c r="F59" i="12"/>
  <c r="F60" i="12" s="1"/>
  <c r="F58" i="12"/>
  <c r="G58" i="12" s="1"/>
  <c r="H58" i="12" s="1"/>
  <c r="I58" i="12" s="1"/>
  <c r="I98" i="12"/>
  <c r="I99" i="12"/>
  <c r="I103" i="12" l="1"/>
  <c r="I104" i="12" s="1"/>
  <c r="G60" i="12"/>
  <c r="G79" i="12" s="1"/>
  <c r="AJ8" i="19"/>
  <c r="F79" i="12"/>
  <c r="F80" i="12" s="1"/>
  <c r="F72" i="12"/>
  <c r="F73" i="12" s="1"/>
  <c r="J98" i="12"/>
  <c r="J99" i="12"/>
  <c r="J100" i="12" s="1"/>
  <c r="G72" i="12"/>
  <c r="J103" i="12" l="1"/>
  <c r="J104" i="12" s="1"/>
  <c r="J106" i="12" s="1"/>
  <c r="J34" i="12" s="1"/>
  <c r="J38" i="12" s="1"/>
  <c r="J40" i="12" s="1"/>
  <c r="J41" i="12" s="1"/>
  <c r="J45" i="12" s="1"/>
  <c r="H60" i="12"/>
  <c r="H79" i="12" s="1"/>
  <c r="H80" i="12" s="1"/>
  <c r="AK8" i="19"/>
  <c r="G73" i="12"/>
  <c r="G80" i="12"/>
  <c r="H72" i="12"/>
  <c r="H73" i="12" s="1"/>
  <c r="J48" i="12" l="1"/>
  <c r="J56" i="12" s="1"/>
  <c r="J59" i="12" s="1"/>
  <c r="E62" i="12" s="1"/>
  <c r="I60" i="12"/>
  <c r="I79" i="12" s="1"/>
  <c r="I80" i="12" s="1"/>
  <c r="AL8" i="19"/>
  <c r="I72" i="12"/>
  <c r="I73" i="12" s="1"/>
  <c r="J58" i="12" l="1"/>
  <c r="J72" i="12" s="1"/>
  <c r="E65" i="12"/>
  <c r="N9" i="19" s="1"/>
  <c r="E87" i="12"/>
  <c r="E88" i="12"/>
  <c r="K9" i="19"/>
  <c r="AH14" i="19" s="1"/>
  <c r="J60" i="12"/>
  <c r="AM8" i="19"/>
  <c r="E89" i="12" l="1"/>
  <c r="AH20" i="19"/>
  <c r="AF20" i="19" s="1"/>
  <c r="AH18" i="19"/>
  <c r="AF18" i="19" s="1"/>
  <c r="AH21" i="19"/>
  <c r="AF21" i="19" s="1"/>
  <c r="AH19" i="19"/>
  <c r="AF19" i="19" s="1"/>
  <c r="J73" i="12"/>
  <c r="E74" i="12"/>
  <c r="E75" i="12" s="1"/>
  <c r="E76" i="12" s="1"/>
  <c r="AN8" i="19"/>
  <c r="J79" i="12"/>
  <c r="J80" i="12" l="1"/>
  <c r="E81" i="12"/>
  <c r="E82" i="12" s="1"/>
  <c r="E83" i="12" s="1"/>
  <c r="E84" i="12" l="1"/>
  <c r="E64" i="12" s="1"/>
  <c r="M9" i="19" s="1"/>
  <c r="E77" i="12" l="1"/>
  <c r="E63" i="12" s="1"/>
  <c r="L9" i="19" s="1"/>
</calcChain>
</file>

<file path=xl/sharedStrings.xml><?xml version="1.0" encoding="utf-8"?>
<sst xmlns="http://schemas.openxmlformats.org/spreadsheetml/2006/main" count="674" uniqueCount="234">
  <si>
    <t>Belastingen</t>
  </si>
  <si>
    <t>Bedragen in EUR x 1.000</t>
  </si>
  <si>
    <t>Afkortingen</t>
  </si>
  <si>
    <t>Brondata</t>
  </si>
  <si>
    <t>Praktisch gebruik</t>
  </si>
  <si>
    <t>Bedragen in zwarte tekst zijn formules/berekende waarden</t>
  </si>
  <si>
    <t>In het model worden enkele Engelstalige termen gebruikt, slechts alleen indien dit zinvol is gezien de gebruikelijke terminologie</t>
  </si>
  <si>
    <t>Uitgangspunten van het model</t>
  </si>
  <si>
    <t>Toelichtingen bij model</t>
  </si>
  <si>
    <t>Opbrengsten</t>
  </si>
  <si>
    <t>Algemeen</t>
  </si>
  <si>
    <t>Invoer</t>
  </si>
  <si>
    <t>Brondata-&gt;</t>
  </si>
  <si>
    <t>Bedragen in groen in de invoersheets zijn gelinkt vanuit een andere sheet</t>
  </si>
  <si>
    <t>Invoer algemeen</t>
  </si>
  <si>
    <t>Disconteringsvoet</t>
  </si>
  <si>
    <t>Incrementele opbrengsten en kosten</t>
  </si>
  <si>
    <t>Invoer als negatief percentage</t>
  </si>
  <si>
    <t>Invoer als negatief percentage, gerelateerd aan de incrementele opbrengsten</t>
  </si>
  <si>
    <t>Alleen incrementele/extra opbrengsten opnemen, voor zover van toepassing</t>
  </si>
  <si>
    <t>Kostprijs verkopen %</t>
  </si>
  <si>
    <t>Incrementele kostprijs</t>
  </si>
  <si>
    <t>Variabele overige bedrijfskosten</t>
  </si>
  <si>
    <t>Invoer als negatief bedrag</t>
  </si>
  <si>
    <t>Incrementele overige bedrijfskosten</t>
  </si>
  <si>
    <t>Operationeel resultaat</t>
  </si>
  <si>
    <t>Nettoresultaat</t>
  </si>
  <si>
    <t>+ = kostenbesparing</t>
  </si>
  <si>
    <t>Incrementele kasstromen</t>
  </si>
  <si>
    <t>Correctie afschrijvingskosten</t>
  </si>
  <si>
    <t>Toe/afname werkapitaal</t>
  </si>
  <si>
    <t>Totaal incrementele kasstromen</t>
  </si>
  <si>
    <t>Jaarnummer</t>
  </si>
  <si>
    <t>Terugverdientijd (TVT)</t>
  </si>
  <si>
    <t>Netto Contante Waarde (NCW)</t>
  </si>
  <si>
    <t>Cumulatieve incementele kasstromen</t>
  </si>
  <si>
    <t>Contante waarde factor</t>
  </si>
  <si>
    <t>Contante waarde per jaar</t>
  </si>
  <si>
    <t>Cumulatieve CW</t>
  </si>
  <si>
    <t>Terugverdientijd CW</t>
  </si>
  <si>
    <t>IRR</t>
  </si>
  <si>
    <t>Jaar-deel in TVT jaar</t>
  </si>
  <si>
    <t>Totale positieve kasstroom?</t>
  </si>
  <si>
    <t>TVT</t>
  </si>
  <si>
    <t>TVT gehele jaren</t>
  </si>
  <si>
    <t>In jaren; aanname dat kasstromen gelijkmatig over het jaar gerealiseerd worden</t>
  </si>
  <si>
    <t>TVT op basis van contante waarde van kasstromen; aanname dat kasstromen gelijkmatig over het jaar gerealiseerd worden</t>
  </si>
  <si>
    <t>NPV formule</t>
  </si>
  <si>
    <t>Check NPV formuler excel</t>
  </si>
  <si>
    <t>Check NPV berekend = NPV formule</t>
  </si>
  <si>
    <t>Disconteringsvoet waarbij NCW = 0</t>
  </si>
  <si>
    <t>Startjaar; jaarnummer = 0 (einde jaar startinvestering)</t>
  </si>
  <si>
    <t>Alle kasstromen worden verondersteld te worden gerealiseerd aan het einde van het jaar</t>
  </si>
  <si>
    <t>Activeerbare uitgaven; standaardberekening: timing startinvestering aan het einde van het eerste jaar t=0</t>
  </si>
  <si>
    <t>Kostprijs handmatig/incidenteel</t>
  </si>
  <si>
    <t>Bedrijfskn handmatig/incidenteel</t>
  </si>
  <si>
    <t>Basis</t>
  </si>
  <si>
    <t>Laag</t>
  </si>
  <si>
    <t>Hoog</t>
  </si>
  <si>
    <t>Scenario</t>
  </si>
  <si>
    <t>Restwaarde</t>
  </si>
  <si>
    <t>Kostprijs%</t>
  </si>
  <si>
    <t>NCW</t>
  </si>
  <si>
    <t>TVT CW</t>
  </si>
  <si>
    <t>Bedragen x € 1.000</t>
  </si>
  <si>
    <t>Disc. voet</t>
  </si>
  <si>
    <t>Scenario's</t>
  </si>
  <si>
    <t>Hulpberekeningen indicatoren</t>
  </si>
  <si>
    <t>Totale opbrengsten scenario</t>
  </si>
  <si>
    <t>Check</t>
  </si>
  <si>
    <t>Investering</t>
  </si>
  <si>
    <t>Invoer Scenario Basis Incrementele kasstromen</t>
  </si>
  <si>
    <t>Hulpberekeningen afschrijvingen</t>
  </si>
  <si>
    <t>Investering en restwaarde</t>
  </si>
  <si>
    <t>Aantal afschrijvingsjaren</t>
  </si>
  <si>
    <t>Afschrijving per jaar</t>
  </si>
  <si>
    <t>Boekwaarde investering</t>
  </si>
  <si>
    <t>Cumulatieve afschrijvingen</t>
  </si>
  <si>
    <t>Aanname: investering wordt gelijkmatig over lopende jaren afgeschreven</t>
  </si>
  <si>
    <t>Boekwaarde -/- restwaarde</t>
  </si>
  <si>
    <t>NPV berekend</t>
  </si>
  <si>
    <t>Kopie Scenario Basis</t>
  </si>
  <si>
    <t>Kopie Dashboard</t>
  </si>
  <si>
    <t>Hulpberekeningen Scenario</t>
  </si>
  <si>
    <t>Aantal jaren</t>
  </si>
  <si>
    <t>Opbrenst scenario per jaar</t>
  </si>
  <si>
    <t>Kopie dashboard</t>
  </si>
  <si>
    <t>Kopie hulpberekening</t>
  </si>
  <si>
    <t>Flex</t>
  </si>
  <si>
    <t>Invoer Scenario Flex Incrementele kasstromen</t>
  </si>
  <si>
    <t>Hulp sensitivity %</t>
  </si>
  <si>
    <t>Disc voet change</t>
  </si>
  <si>
    <t>Investering change</t>
  </si>
  <si>
    <t>Restwaarde change</t>
  </si>
  <si>
    <t>Opbrengsten change</t>
  </si>
  <si>
    <t>Kostprijs change</t>
  </si>
  <si>
    <t>Sensitivity analysis-&gt;</t>
  </si>
  <si>
    <t>Disc voet</t>
  </si>
  <si>
    <t>Change</t>
  </si>
  <si>
    <t>Kostprijs</t>
  </si>
  <si>
    <t>Sensitivity analysis berekening</t>
  </si>
  <si>
    <t>-10%</t>
  </si>
  <si>
    <t>+10%</t>
  </si>
  <si>
    <t>ABS -/-</t>
  </si>
  <si>
    <t>ABS +</t>
  </si>
  <si>
    <t>Ranking</t>
  </si>
  <si>
    <t>Output</t>
  </si>
  <si>
    <t>Driver</t>
  </si>
  <si>
    <r>
      <rPr>
        <b/>
        <sz val="11"/>
        <color theme="0"/>
        <rFont val="Calibri"/>
        <family val="2"/>
      </rPr>
      <t>Δ</t>
    </r>
    <r>
      <rPr>
        <b/>
        <sz val="11"/>
        <color theme="0"/>
        <rFont val="Calibri"/>
        <family val="2"/>
        <scheme val="minor"/>
      </rPr>
      <t xml:space="preserve"> +10%</t>
    </r>
  </si>
  <si>
    <r>
      <rPr>
        <b/>
        <sz val="11"/>
        <color theme="0"/>
        <rFont val="Calibri"/>
        <family val="2"/>
      </rPr>
      <t>Δ</t>
    </r>
    <r>
      <rPr>
        <b/>
        <sz val="11"/>
        <color theme="0"/>
        <rFont val="Calibri"/>
        <family val="2"/>
        <scheme val="minor"/>
      </rPr>
      <t xml:space="preserve"> -10%</t>
    </r>
  </si>
  <si>
    <t>De invoer vindt plaats op basis van incrementele opbrengsten, kosten en kasstromen.</t>
  </si>
  <si>
    <t>Incrementeel betekent "extra" ten opzichte van de huidige situatie zonder investering/project</t>
  </si>
  <si>
    <t>Aanname is dat alle kasstromen gerealiseerd worden aan het einde van het jaar. Dit is een vereenvoudiging van de werkelijkheid. Het betekent een voorzichtige benadering van de positieve kasstromen in de jaren na de initiële investering.</t>
  </si>
  <si>
    <t>Uitzondering op de jaareinde aanname geldt voor de berekening van de terugverdiendtijd (TVT), die berekend en weergegeven wordt in tienden van jaren.</t>
  </si>
  <si>
    <t>In de NCW berekening wordt de waarde van alle toekomstige kasstromen terug gerekend naar ditzelfde tijdstip "einde startjaar".</t>
  </si>
  <si>
    <t>+/- notatie op basis van resultaatimpact: + = positieve bijdrage aan resultaat en/of positieve kasstroom; - = negatieve bijdrage aan resultaat en/of negatieve kasstroom. Kosten zijn dus negatief. Positieve kosten zijn kostenbesparingen.</t>
  </si>
  <si>
    <t>De invoer in de sheets kan het beste plaatsvinden van boven naar beneden.</t>
  </si>
  <si>
    <t>1. Invoer Scenario Basis (voor de invoer van het basis scenario)</t>
  </si>
  <si>
    <t>2. Invoer Scenario Flex (voor de invoer van het flexibele scenario)</t>
  </si>
  <si>
    <t>De twee invoersheets voor het Scenario Basis en het Scenario Flex zijn identiek qua opbouw en invoer. Het flex scenario kan volledig naar eigen inzicht een tweede scenario worden ingevoerd voor het betreffende project.</t>
  </si>
  <si>
    <t>Dashboard:</t>
  </si>
  <si>
    <t>Het dashboard geeft de volgende beoordelingscriteria weer: NCW (Netto Contante waarde), TVT (Terugverdientijd), TVT CW (Terugverdiendtijd met verdisconteerde waarden) en IRR (Internal Rate of Return)</t>
  </si>
  <si>
    <t>NCW is theoretisch het meest zinvolle beoordelingscriterium omdat de NCW de totale waarde aangeeft die de investering toevoegt aan de organisatie over de gehele looptijd tegen een realistisch (zelf ingevoerde) gestelde disconteringsvoet.</t>
  </si>
  <si>
    <t>Voor verdere toelichting op de beoordelingscriteria verwijzen we naar de literatuur of kunt u navraag doen bij KnowYourFinance.</t>
  </si>
  <si>
    <t>De meest relevante grafische lijn is de cumulatieve contante waarde ontwikkeling, zoals weergegeven in het dashboard links onderaan. De waarde in het laatste jaar is de NCW van het scenario. De snijpunt op de x-as is de TVT CW. Dit snijpunt wijkt af van de standaard TVT, aangezien de tijdswaarde van geld bij de standaard TVT wordt genegeerd.</t>
  </si>
  <si>
    <t>De parameters voor de scenario's Hoog en Laag dienen ingevuld te worden in het dashboard in de lichtgrijze cellen links bovenaan. De effecten op de beoordelingscriteria zijn direct zichtbaar in het dashboard.</t>
  </si>
  <si>
    <t>De invoer van het flex scenario dient afzonderlijk en geheel worden gedaan in de invoersheet "Invoer Scenario Flex".</t>
  </si>
  <si>
    <t>Veel uitgangspunten en berekeningen zijn weergegeven bij de betreffende invoer- of weergavevelden, of kunnen worden afgeleid op basis van de gehanteerde formules en presentaties.</t>
  </si>
  <si>
    <t>De sensitivity analyse geeft het effect weer  op de NCW (als procentuele verandering) van een + of - 10% mutatie van de parameters. De grafiek geeft een indruk welke parameters het grootste effect hebben op de NCW bij verandering. De grafiek geeft slechts een indruk. De mate waarin parameters kunnen veranderen verschilt sterk.</t>
  </si>
  <si>
    <t>De standaard disconteringsvoet wordt veelal berekend als gewogen gemiddelde van de gemiddelde kostenvoet van het eigen vermogen en de gemiddelde kostenvoet van het vreemd vermogen (zie WACC berekening in de literatuur).</t>
  </si>
  <si>
    <t>De disconteringsvoet wordt verondersteld gelijk te zijn over de gehele looptijd.</t>
  </si>
  <si>
    <t>Noot: indien uw disconteringsvoet inclusief inflatiecorrectie is, dienen ook de kasstromen opgesteld te worden inclusief inflatiecorrectie.</t>
  </si>
  <si>
    <t>Invoegen van extra jaren</t>
  </si>
  <si>
    <t>Voor het invoegen van extra jaren, kunt u contact opnemen met KnowYourFinance, of ga als volgt te werk:</t>
  </si>
  <si>
    <t>- Selecteer in de sheet "Invoer Scenario Basis" de kolom met het een-na-laatste jaar (met pijl mutatie jaren).</t>
  </si>
  <si>
    <t>- Kopieer de gehele kolom</t>
  </si>
  <si>
    <t>- Selecteer de direct naast gelegen kolom(men) aan de rechterzijde</t>
  </si>
  <si>
    <t>- Voeg de gekopieerde kolom in</t>
  </si>
  <si>
    <t>- Pas de invoerwaarde aan in de grijze cellen</t>
  </si>
  <si>
    <t>- Herhaal deze stappen in de tweede invoersheet en in alle berekening sheets van de scenarios (rechts van  sheet SCENARIO CALC-&gt;)</t>
  </si>
  <si>
    <t>- Pas de grafiek "Cumulatieve Contante Waarde" aan voor de extra jaren</t>
  </si>
  <si>
    <t>Werkelijke afschrijvingen</t>
  </si>
  <si>
    <t>Werkelijke boekwaarde</t>
  </si>
  <si>
    <t>Werkelijke cum afschrijvingen</t>
  </si>
  <si>
    <t>Boekwaarde -/- restwaarde moet nul zijn aan einde looptijd</t>
  </si>
  <si>
    <t>Restwaarde/verkoopwaarde</t>
  </si>
  <si>
    <t>Verkoopresultaat</t>
  </si>
  <si>
    <t>Kasstroom einde project investeringen (geen werkkapitaal)</t>
  </si>
  <si>
    <t>Kopie en invoegen extra jaren</t>
  </si>
  <si>
    <t>Initiële projectkosten (niet activeerbaar)</t>
  </si>
  <si>
    <t>Incrementele opbrengsten</t>
  </si>
  <si>
    <t>Resultaat voor belastingen</t>
  </si>
  <si>
    <t>Correctie verkoopresultaat</t>
  </si>
  <si>
    <t>Betreft voorraden + debiteuren -/- crediteuren. Toename werkkapitaal = -/-; noot: alleen toe-afname opnemen ten opzichte van het voorgaande jaar.</t>
  </si>
  <si>
    <t>Toename werkkapitaal start looptijd betekent vaak afname werkkapitaal einde looptijd (aanname zonder verkoopresultaat)</t>
  </si>
  <si>
    <t>Relevant voor indien afschrijvingen handmatig zijn overschreven, om belasting effect op verkoopresultaat te berekenen</t>
  </si>
  <si>
    <t>Verkoopresultaat nieuwe investering einde looptijd ( = restwaarde -/- boekwaarde), relevant voor belastingvoor-/nadeel = kasstroom</t>
  </si>
  <si>
    <r>
      <t xml:space="preserve">Scenario Hoog Incrementele kasstromen - </t>
    </r>
    <r>
      <rPr>
        <b/>
        <sz val="12"/>
        <color rgb="FFFF0000"/>
        <rFont val="Calibri"/>
        <family val="2"/>
        <scheme val="minor"/>
      </rPr>
      <t>geen invoer</t>
    </r>
  </si>
  <si>
    <r>
      <t xml:space="preserve">Scenario Basis Sensitivity - </t>
    </r>
    <r>
      <rPr>
        <b/>
        <sz val="12"/>
        <color rgb="FFFF0000"/>
        <rFont val="Calibri"/>
        <family val="2"/>
        <scheme val="minor"/>
      </rPr>
      <t>geen invoer</t>
    </r>
  </si>
  <si>
    <t>Kenmerken</t>
  </si>
  <si>
    <t>In veel gevallen zal het werkkapitaal weer verlaagd (kunnen) worden aan het einde van de looptijd (is positieve kasstroom)</t>
  </si>
  <si>
    <t>In sommige siuaties is sprake van een lager werkkapitaal per start van het project, bijvoorbeeld als gevolg van een efficiëntere inzet van voorraden.</t>
  </si>
  <si>
    <t>De hoogte van de disconteringsvoet (waartegen de kasstromen contant worden gemaakt) is een essentiële factor in de berekening van de NCW. In veel organisaties wordt één disconteringsvoet gebruikt voor de beoordeling van alle projecten. Als beter alternatief kan gekozen worden voor de standaard disconteringsvoet van de organsatie + of - een correctie voor het specifieke project. Hoe hoger het risico van het project hoe hoger de disconteringsvoet zal zijn.</t>
  </si>
  <si>
    <t>Invoer incrementele kasstromen werkkapitaal</t>
  </si>
  <si>
    <t>Aanname is dat de kastroom voortkomend uit de restwaarde (positief of negatief) wordt gerealiseerd aan het einde van het laatste jaar van de looptijd van het project</t>
  </si>
  <si>
    <t>Netto Contante Waarde</t>
  </si>
  <si>
    <t>Terugverdientijd</t>
  </si>
  <si>
    <t>Terugverdientijd tegen Contante Waarde</t>
  </si>
  <si>
    <t>Internal Rate of Return</t>
  </si>
  <si>
    <t>NPV</t>
  </si>
  <si>
    <t>Net Present Value ( = NCW)</t>
  </si>
  <si>
    <t>CW</t>
  </si>
  <si>
    <t>Contante Waarde</t>
  </si>
  <si>
    <r>
      <t xml:space="preserve">Afschrijvingslasten gerelateerd aan </t>
    </r>
    <r>
      <rPr>
        <i/>
        <sz val="10"/>
        <color theme="1"/>
        <rFont val="Calibri"/>
        <family val="2"/>
        <scheme val="minor"/>
      </rPr>
      <t>nieuwe</t>
    </r>
    <r>
      <rPr>
        <sz val="10"/>
        <color theme="1"/>
        <rFont val="Calibri"/>
        <family val="2"/>
        <scheme val="minor"/>
      </rPr>
      <t xml:space="preserve"> investeringsuitgaven en restwaarde. Kan handmatig overschreven worden</t>
    </r>
  </si>
  <si>
    <r>
      <t xml:space="preserve">Afschrijvingskosten </t>
    </r>
    <r>
      <rPr>
        <i/>
        <sz val="10"/>
        <color theme="1"/>
        <rFont val="Calibri"/>
        <family val="2"/>
        <scheme val="minor"/>
      </rPr>
      <t>nieuwe</t>
    </r>
    <r>
      <rPr>
        <sz val="10"/>
        <color theme="1"/>
        <rFont val="Calibri"/>
        <family val="2"/>
        <scheme val="minor"/>
      </rPr>
      <t xml:space="preserve"> investering</t>
    </r>
  </si>
  <si>
    <r>
      <t xml:space="preserve">Afschrijvingskosten </t>
    </r>
    <r>
      <rPr>
        <i/>
        <sz val="10"/>
        <color theme="1"/>
        <rFont val="Calibri"/>
        <family val="2"/>
        <scheme val="minor"/>
      </rPr>
      <t>oude</t>
    </r>
    <r>
      <rPr>
        <sz val="10"/>
        <color theme="1"/>
        <rFont val="Calibri"/>
        <family val="2"/>
        <scheme val="minor"/>
      </rPr>
      <t xml:space="preserve"> investering (+)</t>
    </r>
  </si>
  <si>
    <t>Oude investering (vervanging)</t>
  </si>
  <si>
    <t>Afschrijvingslasten vervangde investering</t>
  </si>
  <si>
    <t>Verkoopopbrengst laatste jaar</t>
  </si>
  <si>
    <t>Afschrijvingslasten oorspronkelijke investering die vervangen gaat worden met nieuwe investering. Invoer met min teken</t>
  </si>
  <si>
    <t>Verkoopresultaat laatste jaar</t>
  </si>
  <si>
    <t>Inschatting verkoopresultaat (=verkoopopbrengst -/- boekwaarde) einde projecttijd, indien van toepassing. Invoer + voor positief resultaat; -/- voor negatief resultaat</t>
  </si>
  <si>
    <t>Verkoopopbrengst jaar nul</t>
  </si>
  <si>
    <t>Inschatting verkoopopbrengst einde projecttijd (laatste jaar), indien van toepassing (scenario dat investering niet vervangen wordt). Invoer + voor positieve opbrengst; -/- voor negatieve opbrengst</t>
  </si>
  <si>
    <t>Inschatting verkoopopbrengst jaar 0; = investeringsjaar nieuwe investering (scenario dat investering vervangen wordt). Invoer + voor positieve opbrengst</t>
  </si>
  <si>
    <t>Verkoopresultaat jaar nul</t>
  </si>
  <si>
    <t>Inschatting verkoopresultaat jaar 0; Invoer + voor positief resultaat; -/- voor negatief resultaat</t>
  </si>
  <si>
    <r>
      <t xml:space="preserve">Verkoopopbrengst </t>
    </r>
    <r>
      <rPr>
        <i/>
        <sz val="10"/>
        <color theme="1"/>
        <rFont val="Calibri"/>
        <family val="2"/>
        <scheme val="minor"/>
      </rPr>
      <t>oude</t>
    </r>
    <r>
      <rPr>
        <sz val="10"/>
        <color theme="1"/>
        <rFont val="Calibri"/>
        <family val="2"/>
        <scheme val="minor"/>
      </rPr>
      <t xml:space="preserve"> investering laatste jaar</t>
    </r>
  </si>
  <si>
    <r>
      <t xml:space="preserve">Verkoopresultaat </t>
    </r>
    <r>
      <rPr>
        <i/>
        <sz val="10"/>
        <color theme="1"/>
        <rFont val="Calibri"/>
        <family val="2"/>
        <scheme val="minor"/>
      </rPr>
      <t>nieuwe</t>
    </r>
    <r>
      <rPr>
        <sz val="10"/>
        <color theme="1"/>
        <rFont val="Calibri"/>
        <family val="2"/>
        <scheme val="minor"/>
      </rPr>
      <t xml:space="preserve"> investering</t>
    </r>
  </si>
  <si>
    <r>
      <t xml:space="preserve">Verkoopresultaat </t>
    </r>
    <r>
      <rPr>
        <i/>
        <sz val="10"/>
        <color theme="1"/>
        <rFont val="Calibri"/>
        <family val="2"/>
        <scheme val="minor"/>
      </rPr>
      <t>oude</t>
    </r>
    <r>
      <rPr>
        <sz val="10"/>
        <color theme="1"/>
        <rFont val="Calibri"/>
        <family val="2"/>
        <scheme val="minor"/>
      </rPr>
      <t xml:space="preserve"> investering jaar 0</t>
    </r>
  </si>
  <si>
    <r>
      <t xml:space="preserve">Verkoopresultaat </t>
    </r>
    <r>
      <rPr>
        <i/>
        <sz val="10"/>
        <color theme="1"/>
        <rFont val="Calibri"/>
        <family val="2"/>
        <scheme val="minor"/>
      </rPr>
      <t>oude</t>
    </r>
    <r>
      <rPr>
        <sz val="10"/>
        <color theme="1"/>
        <rFont val="Calibri"/>
        <family val="2"/>
        <scheme val="minor"/>
      </rPr>
      <t xml:space="preserve"> investering laatste jaar</t>
    </r>
  </si>
  <si>
    <r>
      <t xml:space="preserve">Restwaarde/verkoopopbrengst </t>
    </r>
    <r>
      <rPr>
        <i/>
        <sz val="10"/>
        <color theme="1"/>
        <rFont val="Calibri"/>
        <family val="2"/>
        <scheme val="minor"/>
      </rPr>
      <t>nieuwe</t>
    </r>
    <r>
      <rPr>
        <sz val="10"/>
        <color theme="1"/>
        <rFont val="Calibri"/>
        <family val="2"/>
        <scheme val="minor"/>
      </rPr>
      <t xml:space="preserve"> investering</t>
    </r>
  </si>
  <si>
    <t>Kasstroom einde project nieuwe investeringen (geen werkkapitaal)</t>
  </si>
  <si>
    <r>
      <t xml:space="preserve">Verkoopopbrengst </t>
    </r>
    <r>
      <rPr>
        <i/>
        <sz val="10"/>
        <color theme="1"/>
        <rFont val="Calibri"/>
        <family val="2"/>
        <scheme val="minor"/>
      </rPr>
      <t>oude</t>
    </r>
    <r>
      <rPr>
        <sz val="10"/>
        <color theme="1"/>
        <rFont val="Calibri"/>
        <family val="2"/>
        <scheme val="minor"/>
      </rPr>
      <t xml:space="preserve"> investering jaar 0</t>
    </r>
  </si>
  <si>
    <t>Activeerbare uitgaven (geen werkkapitaalmutatie); standaardberekening: timing startinvestering aan het einde van het eerste jaar t=0</t>
  </si>
  <si>
    <r>
      <rPr>
        <i/>
        <sz val="10"/>
        <color theme="1"/>
        <rFont val="Calibri"/>
        <family val="2"/>
        <scheme val="minor"/>
      </rPr>
      <t>Nieuwe</t>
    </r>
    <r>
      <rPr>
        <sz val="10"/>
        <color theme="1"/>
        <rFont val="Calibri"/>
        <family val="2"/>
        <scheme val="minor"/>
      </rPr>
      <t xml:space="preserve"> investeringsuitgaven</t>
    </r>
  </si>
  <si>
    <t>Invoer oude investering (vervanging)</t>
  </si>
  <si>
    <t>Invoer incrementele opbrengsten en kosten</t>
  </si>
  <si>
    <t>Invoer incrementele kasstromen</t>
  </si>
  <si>
    <t>Correctie afschrijvingskosten, want geen kasstroom</t>
  </si>
  <si>
    <t>Correctie verkoopresultaat, want geen kasstroom</t>
  </si>
  <si>
    <t>Afschrijvingslasten oude investering</t>
  </si>
  <si>
    <t>In de tweede sectie worden de kenmerken van de bestaande investering die wordt vervangen door de nieuwe investering ingevoerd. Deze kenmerken zijn relevant om de incrementele resultaten en kasstromen te berekenen. De ingevoerde bedragen worden automatisch verwerkt in de berekening in de volgende secties.</t>
  </si>
  <si>
    <t>In de derde sectie vindt de verdere invoer plaats op basis van de "indirecte kasstroommethode". Eerst worden de incrementele opbrengsten en kosten ingevoerd. Deze worden gecorrigeerd voor de afschrijvingslasten om te komen tot een berekende incrementele operationele kasstroom. Deze kasstroom wordt aan gevuld met incrementele kasstromen voor de investering, het werkkapitaal en de restwaarde.</t>
  </si>
  <si>
    <t>KnowYourFinance ©</t>
  </si>
  <si>
    <t>KnowYourFinance</t>
  </si>
  <si>
    <t>U kunt contact opnemen met KnowYourFinance bij vragen over het model, of indien u klant-specifieke wensen en toepassingen heeft. We waarderen uw feedback over het model en het delen van uw gebruikservaringen. Wij nodigen u uit een email te sturen of onze webstite te bezoeken via onderstaande links.</t>
  </si>
  <si>
    <t>info@knowyourfinance.nl</t>
  </si>
  <si>
    <t>https://knowyourfinance.nl</t>
  </si>
  <si>
    <r>
      <rPr>
        <b/>
        <sz val="11"/>
        <rFont val="Calibri"/>
        <family val="2"/>
        <scheme val="minor"/>
      </rPr>
      <t>Type model:</t>
    </r>
    <r>
      <rPr>
        <sz val="11"/>
        <rFont val="Calibri"/>
        <family val="2"/>
        <scheme val="minor"/>
      </rPr>
      <t xml:space="preserve"> Investeringsbeoordeling</t>
    </r>
  </si>
  <si>
    <t xml:space="preserve">De investering wordt geacht gedaan te worden in één jaar en met de uitgaande kasstroom aan het einde van het "startjaar". </t>
  </si>
  <si>
    <t>De jaarlijkse afschrijvingslasten ten behoeve van het belastingvoordeel wordt automatisch berekend op basis van de investering -/- restwaarde gedeeld door het aantal jaren van investering tot en met de restwaarde kasstroom.</t>
  </si>
  <si>
    <t>Indien het aantal afschrijvingsjaren afwijkt van deze standaard berekening, dient deze berekening te worden aangepast in het model, of kunnen de afschrijvingslasten handmatig worden overschreven. De cellen met de afschrijvingslasten zijn niet beveiligd. Een evenuteel verkoopresultaat van de investering aan het einde van de looptijd wordt automatisch opgenomen in het model ten behoeve van de berekening van de kasstroom van het belastingeffect.</t>
  </si>
  <si>
    <t>Bedragen in gele cellen zijn handmatige invoer- waarden</t>
  </si>
  <si>
    <r>
      <rPr>
        <b/>
        <sz val="11"/>
        <rFont val="Calibri"/>
        <family val="2"/>
        <scheme val="minor"/>
      </rPr>
      <t>Minder geschikt voor:</t>
    </r>
    <r>
      <rPr>
        <sz val="11"/>
        <rFont val="Calibri"/>
        <family val="2"/>
        <scheme val="minor"/>
      </rPr>
      <t xml:space="preserve"> Voor investeringsbeoordelingen zonder verkoop of vervanging van een bestaande investering, wordt geadviseerd het eenvoudigere model </t>
    </r>
    <r>
      <rPr>
        <i/>
        <sz val="11"/>
        <rFont val="Calibri"/>
        <family val="2"/>
        <scheme val="minor"/>
      </rPr>
      <t>Investeringsbeoordeling</t>
    </r>
    <r>
      <rPr>
        <sz val="11"/>
        <rFont val="Calibri"/>
        <family val="2"/>
        <scheme val="minor"/>
      </rPr>
      <t xml:space="preserve"> te gebruiken, zoals beschikbaar op de site van KnowYourFinance</t>
    </r>
  </si>
  <si>
    <t>Dashboard Investeringsbeoordeling met vervanging</t>
  </si>
  <si>
    <t>Aanname: laatste afschrijvingsjaar = laatste jaar in invoertabel; zonodig jaren invoegen met kopie kolom en inplakken kolom</t>
  </si>
  <si>
    <t>Invoer in deze sectie betreft oude investering die vervangen gaat worden. Invoer betreft oorspronkelijke bedragen voorafgaand aan scenario van vervanging.</t>
  </si>
  <si>
    <t>Inschatting oorspronkelijke verkoopopbrengst einde projecttijd (laatste jaar), indien van toepassing. Invoer + voor positieve opbrengst; -/- voor negatieve opbrengst</t>
  </si>
  <si>
    <t>Invoer oude investering</t>
  </si>
  <si>
    <t>Terugverdientijd contante waarde (CW)</t>
  </si>
  <si>
    <r>
      <t xml:space="preserve">Scenario Laag Incrementele kasstromen - </t>
    </r>
    <r>
      <rPr>
        <b/>
        <sz val="12"/>
        <color rgb="FFFF0000"/>
        <rFont val="Calibri"/>
        <family val="2"/>
        <scheme val="minor"/>
      </rPr>
      <t>geen invoer</t>
    </r>
  </si>
  <si>
    <t>Scenario invoer Hoog en Laag in lichtgele cellen</t>
  </si>
  <si>
    <t>Bepalingen voor gebruik</t>
  </si>
  <si>
    <t>Het model is generiek van opzet, dat als voorbeeld kan dienen voor de financiële planning van organisaties en ondernemingen. Het model is niet zondermeer standaard toepasbaar in uw organisatie en/of uw situatie.  Mogelijk moeten aanpassingen gedaan worden om het model te laten aansluiten op uw specifieke omstandigheden, eisen en wensen. Voldoende kennis van excel en financieel modelleren is noodzakelijk voor het aanpassen van het model, het geschikt maken voor een specifieke bedrijfssituatie en het gebruik van het model. Vraag advies van KYF over de geschiktheid, de benodigde aanpassingen en het gebruik van het model.</t>
  </si>
  <si>
    <t>Het model kan vrij gebruikt worden als aanzet voor eigen gebruik en ten behoeve van ontwikkeling van de eigen kennis.</t>
  </si>
  <si>
    <t>Het model kan gebruikt voor onderwijskundige doeleinden in klassikale onderwijsvormen en voor praktijkgerichte case studies na toestemming van KYF en onder de voorwaarde dat copyright en intellectuele eigendom van het model worden gerespecteerd.</t>
  </si>
  <si>
    <t>KnowYourFinance en/of de auteur kunnen niet verantwoordelijk worden gehouden voor een juiste werking van het model in uw specifieke organisatie/onderneming. Ook kunnen KnowYourFinance en/of de auteur niet aansprakelijk worden gesteld voor onjuistheden in het model. KnowYourFinance hecht veel waarde aan kwaliteit en een zinvol gebruik van het model. In het geval van gesignaleerde onjuistheden of onvolkomenheden, zal KnowYourFinance deze zo spoedig mogelijk oplossen, in afstemming met de gebruiker(s) van het model.</t>
  </si>
  <si>
    <t>KnowYourFinance en de auteur zijn niet verantwoordelijk voor besluitvorming (of achterwege blijven hiervan) op basis van het model, zowel niet in de oorspronkelijke vorm als in aangepaste vorm.</t>
  </si>
  <si>
    <t>KnowYourFinance is intellectueel eigenaar van het model. Het is niet toegestaan in welke vorm dan ook het model of gedeelten ervan (in oorspronkelijke of aangepaste vorm) te verspreiden of te delen met derden (tegen een vergoeding noch kosteloos), met uitzondering van deling van het model ten behoeve van gebruik en kennisdeling binnen de eigen organisatie/onderneming. In alle gevallen worden de copyright en het intellectuele eigendom van het model gerespecteerd.</t>
  </si>
  <si>
    <t>KnowYourFinance heeft als doel organisaties te ondersteunen bij de financiële planning, analyse en besluitvorming en de kennis over financiële analyse, planning en modelleren praktisch beschikbaar te stellen.</t>
  </si>
  <si>
    <r>
      <rPr>
        <b/>
        <sz val="11"/>
        <rFont val="Calibri"/>
        <family val="2"/>
        <scheme val="minor"/>
      </rPr>
      <t>Geschikt voor:</t>
    </r>
    <r>
      <rPr>
        <sz val="11"/>
        <rFont val="Calibri"/>
        <family val="2"/>
        <scheme val="minor"/>
      </rPr>
      <t xml:space="preserve"> Potentieel geschikt voor vele type investeringensbeoordelingen met een investering in startjaar 0 en een potentiële restwaarde per einde van de looptijd, ter vervanning van een bestaande investering (inclusief verkoopopbrengst en de incrementele belastingeffecten).</t>
    </r>
  </si>
  <si>
    <t>Let op bij de invoer van incrementele kasstromen voor het werkkapitaal. Een toename van werkkapitaal betekent extra uistroom van geld, dus er dient eenmalig een negatieve kasstroom te worden ingevoerd in het eerste jaar gerelateerd aan het verhoogde werkkapitaal.</t>
  </si>
  <si>
    <t>Er zijn 2 invoer sheets, in sheets rechts van INVOER, tevens is invoer mogelijk in het dashboard, zie de toelichting verderop: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</si>
</sst>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8" formatCode="&quot;€&quot;\ #,##0;\-&quot;€&quot;\ #,##0;\-"/>
    <numFmt numFmtId="169" formatCode="#,##0.00_ ;\-#,##0.00\ "/>
  </numFmts>
  <fonts count="33" x14ac:knownFonts="1">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i/>
      <sz val="9"/>
      <color theme="1"/>
      <name val="Calibri"/>
      <family val="2"/>
      <scheme val="minor"/>
    </font>
    <font>
      <b/>
      <sz val="12"/>
      <color theme="1"/>
      <name val="Calibri"/>
      <family val="2"/>
      <scheme val="minor"/>
    </font>
    <font>
      <i/>
      <sz val="9"/>
      <color theme="0"/>
      <name val="Calibri"/>
      <family val="2"/>
      <scheme val="minor"/>
    </font>
    <font>
      <b/>
      <sz val="12"/>
      <name val="Calibri"/>
      <family val="2"/>
      <scheme val="minor"/>
    </font>
    <font>
      <i/>
      <sz val="9"/>
      <name val="Calibri"/>
      <family val="2"/>
      <scheme val="minor"/>
    </font>
    <font>
      <i/>
      <sz val="8"/>
      <color theme="1"/>
      <name val="Calibri"/>
      <family val="2"/>
      <scheme val="minor"/>
    </font>
    <font>
      <b/>
      <sz val="9"/>
      <name val="Calibri"/>
      <family val="2"/>
      <scheme val="minor"/>
    </font>
    <font>
      <sz val="11"/>
      <name val="Calibri"/>
      <family val="2"/>
    </font>
    <font>
      <sz val="10"/>
      <color theme="1"/>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sz val="10"/>
      <name val="Calibri"/>
      <family val="2"/>
      <scheme val="minor"/>
    </font>
    <font>
      <b/>
      <sz val="10"/>
      <name val="Calibri"/>
      <family val="2"/>
      <scheme val="minor"/>
    </font>
    <font>
      <i/>
      <sz val="11"/>
      <name val="Calibri"/>
      <family val="2"/>
      <scheme val="minor"/>
    </font>
    <font>
      <sz val="10"/>
      <color rgb="FF00B050"/>
      <name val="Calibri"/>
      <family val="2"/>
      <scheme val="minor"/>
    </font>
    <font>
      <b/>
      <sz val="10"/>
      <color rgb="FF00B050"/>
      <name val="Calibri"/>
      <family val="2"/>
      <scheme val="minor"/>
    </font>
    <font>
      <sz val="11"/>
      <color rgb="FF00B050"/>
      <name val="Calibri"/>
      <family val="2"/>
      <scheme val="minor"/>
    </font>
    <font>
      <b/>
      <sz val="11"/>
      <color theme="0"/>
      <name val="Calibri"/>
      <family val="2"/>
    </font>
    <font>
      <sz val="10"/>
      <color theme="0" tint="-0.249977111117893"/>
      <name val="Calibri"/>
      <family val="2"/>
      <scheme val="minor"/>
    </font>
    <font>
      <b/>
      <sz val="12"/>
      <color rgb="FFFF0000"/>
      <name val="Calibri"/>
      <family val="2"/>
      <scheme val="minor"/>
    </font>
    <font>
      <b/>
      <sz val="9"/>
      <color theme="0"/>
      <name val="Calibri"/>
      <family val="2"/>
      <scheme val="minor"/>
    </font>
    <font>
      <u/>
      <sz val="11"/>
      <color theme="10"/>
      <name val="Calibri"/>
      <family val="2"/>
      <scheme val="minor"/>
    </font>
    <font>
      <sz val="11"/>
      <color theme="1"/>
      <name val="Segoe UI"/>
      <family val="2"/>
    </font>
    <font>
      <b/>
      <u/>
      <sz val="11"/>
      <color theme="9"/>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CC"/>
        <bgColor indexed="64"/>
      </patternFill>
    </fill>
  </fills>
  <borders count="15">
    <border>
      <left/>
      <right/>
      <top/>
      <bottom/>
      <diagonal/>
    </border>
    <border>
      <left/>
      <right style="thin">
        <color theme="0"/>
      </right>
      <top/>
      <bottom/>
      <diagonal/>
    </border>
    <border>
      <left/>
      <right/>
      <top style="thin">
        <color indexed="64"/>
      </top>
      <bottom/>
      <diagonal/>
    </border>
    <border>
      <left/>
      <right/>
      <top style="thin">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5" fillId="0" borderId="0" applyFont="0" applyFill="0" applyBorder="0" applyAlignment="0" applyProtection="0"/>
    <xf numFmtId="0" fontId="30" fillId="0" borderId="0" applyNumberFormat="0" applyFill="0" applyBorder="0" applyAlignment="0" applyProtection="0"/>
  </cellStyleXfs>
  <cellXfs count="130">
    <xf numFmtId="0" fontId="0" fillId="0" borderId="0" xfId="0"/>
    <xf numFmtId="3" fontId="0" fillId="0" borderId="0" xfId="0" applyNumberFormat="1"/>
    <xf numFmtId="0" fontId="1" fillId="0" borderId="0" xfId="0" applyFont="1"/>
    <xf numFmtId="0" fontId="4" fillId="0" borderId="0" xfId="0" applyFont="1"/>
    <xf numFmtId="0" fontId="0" fillId="2" borderId="0" xfId="0" applyFill="1"/>
    <xf numFmtId="0" fontId="2" fillId="2" borderId="0" xfId="0" applyFont="1" applyFill="1" applyAlignment="1">
      <alignment vertical="top" wrapText="1"/>
    </xf>
    <xf numFmtId="0" fontId="0" fillId="0" borderId="0" xfId="0" applyAlignment="1">
      <alignment vertical="top" wrapText="1"/>
    </xf>
    <xf numFmtId="0" fontId="0" fillId="0" borderId="0" xfId="0" quotePrefix="1" applyAlignment="1">
      <alignment vertical="top" wrapText="1"/>
    </xf>
    <xf numFmtId="0" fontId="9" fillId="0" borderId="0" xfId="0" applyFont="1"/>
    <xf numFmtId="0" fontId="3" fillId="0" borderId="0" xfId="0" applyFont="1" applyAlignment="1">
      <alignment horizontal="center"/>
    </xf>
    <xf numFmtId="0" fontId="3" fillId="3" borderId="0" xfId="0" applyFont="1" applyFill="1"/>
    <xf numFmtId="0" fontId="3" fillId="3" borderId="0" xfId="0" applyFont="1" applyFill="1" applyAlignment="1">
      <alignment horizontal="center"/>
    </xf>
    <xf numFmtId="0" fontId="3" fillId="0" borderId="1" xfId="0" applyFont="1" applyBorder="1" applyAlignment="1">
      <alignment horizontal="center"/>
    </xf>
    <xf numFmtId="165" fontId="0" fillId="0" borderId="0" xfId="0" applyNumberFormat="1"/>
    <xf numFmtId="0" fontId="11" fillId="0" borderId="4" xfId="0" applyFont="1" applyBorder="1"/>
    <xf numFmtId="0" fontId="6" fillId="0" borderId="4" xfId="0" applyFont="1" applyBorder="1"/>
    <xf numFmtId="0" fontId="12" fillId="0" borderId="4" xfId="0" applyFont="1" applyBorder="1" applyAlignment="1">
      <alignment horizontal="right"/>
    </xf>
    <xf numFmtId="0" fontId="6" fillId="0" borderId="0" xfId="0" applyFont="1"/>
    <xf numFmtId="164" fontId="0" fillId="0" borderId="0" xfId="0" applyNumberFormat="1"/>
    <xf numFmtId="0" fontId="13" fillId="0" borderId="0" xfId="0" applyFont="1" applyAlignment="1">
      <alignment vertical="top"/>
    </xf>
    <xf numFmtId="0" fontId="6" fillId="0" borderId="0" xfId="0" applyFont="1" applyAlignment="1">
      <alignment vertical="top" wrapText="1"/>
    </xf>
    <xf numFmtId="0" fontId="4" fillId="0" borderId="0" xfId="0" applyFont="1" applyAlignment="1">
      <alignment vertical="top" wrapText="1"/>
    </xf>
    <xf numFmtId="0" fontId="0" fillId="0" borderId="4" xfId="0" applyBorder="1"/>
    <xf numFmtId="0" fontId="7" fillId="0" borderId="0" xfId="0" applyFont="1"/>
    <xf numFmtId="0" fontId="7" fillId="0" borderId="0" xfId="0" applyFont="1" applyAlignment="1">
      <alignment horizontal="center"/>
    </xf>
    <xf numFmtId="0" fontId="8" fillId="0" borderId="4" xfId="0" applyFont="1" applyBorder="1"/>
    <xf numFmtId="0" fontId="16" fillId="0" borderId="0" xfId="0" applyFont="1"/>
    <xf numFmtId="3" fontId="16" fillId="0" borderId="0" xfId="0" applyNumberFormat="1" applyFont="1"/>
    <xf numFmtId="0" fontId="17" fillId="0" borderId="0" xfId="0" applyFont="1"/>
    <xf numFmtId="165" fontId="16" fillId="0" borderId="0" xfId="0" applyNumberFormat="1" applyFont="1"/>
    <xf numFmtId="0" fontId="18" fillId="0" borderId="0" xfId="0" applyFont="1" applyAlignment="1">
      <alignment horizontal="center"/>
    </xf>
    <xf numFmtId="0" fontId="16" fillId="0" borderId="0" xfId="0" quotePrefix="1" applyFont="1" applyAlignment="1">
      <alignment horizontal="center"/>
    </xf>
    <xf numFmtId="0" fontId="19" fillId="0" borderId="0" xfId="0" applyFont="1"/>
    <xf numFmtId="0" fontId="20" fillId="0" borderId="0" xfId="0" applyFont="1"/>
    <xf numFmtId="0" fontId="10" fillId="0" borderId="0" xfId="0" applyFont="1" applyAlignment="1">
      <alignment horizontal="right"/>
    </xf>
    <xf numFmtId="0" fontId="16" fillId="0" borderId="0" xfId="0" quotePrefix="1" applyFont="1"/>
    <xf numFmtId="0" fontId="20" fillId="0" borderId="0" xfId="0" applyFont="1" applyAlignment="1">
      <alignment horizontal="left"/>
    </xf>
    <xf numFmtId="0" fontId="16" fillId="0" borderId="0" xfId="0" applyFont="1" applyAlignment="1">
      <alignment horizontal="left" indent="1"/>
    </xf>
    <xf numFmtId="4" fontId="16" fillId="0" borderId="0" xfId="0" applyNumberFormat="1" applyFont="1"/>
    <xf numFmtId="166" fontId="16" fillId="0" borderId="0" xfId="0" applyNumberFormat="1" applyFont="1"/>
    <xf numFmtId="4" fontId="16" fillId="0" borderId="0" xfId="0" applyNumberFormat="1" applyFont="1" applyAlignment="1">
      <alignment horizontal="right"/>
    </xf>
    <xf numFmtId="3" fontId="20" fillId="0" borderId="0" xfId="1" applyNumberFormat="1" applyFont="1" applyFill="1"/>
    <xf numFmtId="0" fontId="0" fillId="0" borderId="0" xfId="0" applyAlignment="1">
      <alignment horizontal="center" vertical="center"/>
    </xf>
    <xf numFmtId="3" fontId="0" fillId="0" borderId="0" xfId="0" applyNumberFormat="1" applyAlignment="1">
      <alignment horizontal="center" vertical="center"/>
    </xf>
    <xf numFmtId="1" fontId="16" fillId="0" borderId="0" xfId="0" applyNumberFormat="1" applyFont="1"/>
    <xf numFmtId="3" fontId="19" fillId="0" borderId="0" xfId="0" applyNumberFormat="1" applyFont="1"/>
    <xf numFmtId="1" fontId="23" fillId="0" borderId="0" xfId="0" applyNumberFormat="1" applyFont="1"/>
    <xf numFmtId="165" fontId="23" fillId="0" borderId="0" xfId="1" applyNumberFormat="1" applyFont="1" applyFill="1"/>
    <xf numFmtId="165" fontId="0" fillId="0" borderId="0" xfId="1" applyNumberFormat="1" applyFont="1" applyBorder="1"/>
    <xf numFmtId="1" fontId="3" fillId="3" borderId="0" xfId="0" applyNumberFormat="1" applyFont="1" applyFill="1" applyAlignment="1">
      <alignment horizontal="center"/>
    </xf>
    <xf numFmtId="0" fontId="4" fillId="0" borderId="0" xfId="0" applyFont="1" applyAlignment="1">
      <alignment horizontal="left" vertical="center"/>
    </xf>
    <xf numFmtId="0" fontId="0" fillId="0" borderId="9" xfId="0" applyBorder="1"/>
    <xf numFmtId="0" fontId="1" fillId="0" borderId="8" xfId="0" applyFont="1" applyBorder="1"/>
    <xf numFmtId="0" fontId="0" fillId="0" borderId="11" xfId="0" applyBorder="1"/>
    <xf numFmtId="0" fontId="3" fillId="3" borderId="0" xfId="0" applyFont="1" applyFill="1" applyAlignment="1">
      <alignment horizontal="centerContinuous"/>
    </xf>
    <xf numFmtId="165" fontId="0" fillId="4" borderId="0" xfId="0" applyNumberFormat="1" applyFill="1" applyAlignment="1">
      <alignment horizontal="right"/>
    </xf>
    <xf numFmtId="165" fontId="0" fillId="4" borderId="0" xfId="0" applyNumberFormat="1" applyFill="1" applyAlignment="1">
      <alignment horizontal="right" vertical="center"/>
    </xf>
    <xf numFmtId="0" fontId="0" fillId="0" borderId="0" xfId="0" applyAlignment="1">
      <alignment horizontal="center"/>
    </xf>
    <xf numFmtId="165" fontId="23" fillId="5" borderId="0" xfId="1" applyNumberFormat="1" applyFont="1" applyFill="1"/>
    <xf numFmtId="165" fontId="23" fillId="5" borderId="0" xfId="0" applyNumberFormat="1" applyFont="1" applyFill="1"/>
    <xf numFmtId="0" fontId="3" fillId="3" borderId="0" xfId="0" quotePrefix="1" applyFont="1" applyFill="1"/>
    <xf numFmtId="0" fontId="0" fillId="0" borderId="6" xfId="0" applyBorder="1"/>
    <xf numFmtId="0" fontId="0" fillId="0" borderId="2" xfId="0" applyBorder="1"/>
    <xf numFmtId="0" fontId="0" fillId="0" borderId="7" xfId="0" applyBorder="1"/>
    <xf numFmtId="0" fontId="0" fillId="0" borderId="10" xfId="0" applyBorder="1"/>
    <xf numFmtId="0" fontId="8" fillId="0" borderId="0" xfId="0" applyFont="1"/>
    <xf numFmtId="0" fontId="27" fillId="0" borderId="0" xfId="0" applyFont="1" applyAlignment="1">
      <alignment horizontal="center"/>
    </xf>
    <xf numFmtId="4" fontId="0" fillId="0" borderId="0" xfId="0" applyNumberFormat="1" applyAlignment="1">
      <alignment horizontal="right"/>
    </xf>
    <xf numFmtId="0" fontId="29" fillId="3" borderId="5" xfId="0" applyFont="1" applyFill="1" applyBorder="1" applyAlignment="1">
      <alignment horizontal="center" vertical="center"/>
    </xf>
    <xf numFmtId="0" fontId="29" fillId="3" borderId="12" xfId="0" applyFont="1" applyFill="1" applyBorder="1" applyAlignment="1">
      <alignment horizontal="left" vertical="center"/>
    </xf>
    <xf numFmtId="0" fontId="29" fillId="3" borderId="13" xfId="0" applyFont="1" applyFill="1" applyBorder="1" applyAlignment="1">
      <alignment horizontal="center" vertical="center"/>
    </xf>
    <xf numFmtId="0" fontId="29" fillId="3" borderId="14" xfId="0" applyFont="1" applyFill="1" applyBorder="1" applyAlignment="1">
      <alignment horizontal="center" vertical="center"/>
    </xf>
    <xf numFmtId="0" fontId="2" fillId="3" borderId="14" xfId="0" applyFont="1" applyFill="1" applyBorder="1" applyAlignment="1">
      <alignment horizontal="center" vertical="center"/>
    </xf>
    <xf numFmtId="0" fontId="20" fillId="0" borderId="0" xfId="0" applyFont="1" applyAlignment="1">
      <alignment horizontal="center"/>
    </xf>
    <xf numFmtId="1" fontId="20" fillId="0" borderId="0" xfId="0" applyNumberFormat="1" applyFont="1" applyAlignment="1">
      <alignment horizontal="center"/>
    </xf>
    <xf numFmtId="0" fontId="6" fillId="0" borderId="0" xfId="0" applyFont="1" applyAlignment="1">
      <alignment horizontal="center"/>
    </xf>
    <xf numFmtId="0" fontId="16" fillId="0" borderId="0" xfId="0" applyFont="1" applyAlignment="1">
      <alignment horizontal="left"/>
    </xf>
    <xf numFmtId="165" fontId="0" fillId="6" borderId="0" xfId="0" applyNumberFormat="1" applyFill="1"/>
    <xf numFmtId="1" fontId="20" fillId="6" borderId="0" xfId="0" applyNumberFormat="1" applyFont="1" applyFill="1"/>
    <xf numFmtId="165" fontId="20" fillId="6" borderId="0" xfId="1" applyNumberFormat="1" applyFont="1" applyFill="1"/>
    <xf numFmtId="0" fontId="31" fillId="0" borderId="0" xfId="0" applyFont="1" applyAlignment="1">
      <alignment horizontal="left" vertical="top" wrapText="1" indent="1"/>
    </xf>
    <xf numFmtId="0" fontId="32" fillId="0" borderId="0" xfId="2" applyFont="1" applyAlignment="1">
      <alignment vertical="top" wrapText="1"/>
    </xf>
    <xf numFmtId="0" fontId="30" fillId="0" borderId="0" xfId="2" applyAlignment="1">
      <alignment vertical="top" wrapText="1"/>
    </xf>
    <xf numFmtId="0" fontId="2" fillId="0" borderId="0" xfId="0" applyFont="1" applyAlignment="1">
      <alignment vertical="top" wrapText="1"/>
    </xf>
    <xf numFmtId="0" fontId="22" fillId="0" borderId="0" xfId="0" applyFont="1" applyAlignment="1">
      <alignment vertical="top" wrapText="1"/>
    </xf>
    <xf numFmtId="0" fontId="6" fillId="6" borderId="0" xfId="0" applyFont="1" applyFill="1" applyAlignment="1">
      <alignment vertical="top" wrapText="1"/>
    </xf>
    <xf numFmtId="0" fontId="25" fillId="0" borderId="0" xfId="0" applyFont="1" applyAlignment="1">
      <alignment vertical="top" wrapText="1"/>
    </xf>
    <xf numFmtId="0" fontId="18" fillId="3" borderId="0" xfId="0" applyFont="1" applyFill="1"/>
    <xf numFmtId="0" fontId="18" fillId="3" borderId="0" xfId="0" applyFont="1" applyFill="1" applyAlignment="1">
      <alignment horizontal="center"/>
    </xf>
    <xf numFmtId="0" fontId="14" fillId="0" borderId="4" xfId="0" applyFont="1" applyBorder="1"/>
    <xf numFmtId="0" fontId="15" fillId="0" borderId="4" xfId="0" applyFont="1" applyBorder="1"/>
    <xf numFmtId="168" fontId="20" fillId="6" borderId="0" xfId="0" applyNumberFormat="1" applyFont="1" applyFill="1"/>
    <xf numFmtId="168" fontId="20" fillId="4" borderId="0" xfId="0" applyNumberFormat="1" applyFont="1" applyFill="1" applyAlignment="1">
      <alignment horizontal="right"/>
    </xf>
    <xf numFmtId="168" fontId="20" fillId="6" borderId="0" xfId="0" applyNumberFormat="1" applyFont="1" applyFill="1" applyAlignment="1">
      <alignment horizontal="right"/>
    </xf>
    <xf numFmtId="168" fontId="20" fillId="0" borderId="0" xfId="0" quotePrefix="1" applyNumberFormat="1" applyFont="1" applyAlignment="1">
      <alignment horizontal="center"/>
    </xf>
    <xf numFmtId="168" fontId="20" fillId="0" borderId="0" xfId="0" applyNumberFormat="1" applyFont="1"/>
    <xf numFmtId="168" fontId="16" fillId="0" borderId="0" xfId="0" quotePrefix="1" applyNumberFormat="1" applyFont="1" applyAlignment="1">
      <alignment horizontal="center"/>
    </xf>
    <xf numFmtId="168" fontId="16" fillId="0" borderId="0" xfId="0" applyNumberFormat="1" applyFont="1"/>
    <xf numFmtId="168" fontId="21" fillId="0" borderId="0" xfId="0" applyNumberFormat="1" applyFont="1"/>
    <xf numFmtId="168" fontId="21" fillId="6" borderId="0" xfId="0" applyNumberFormat="1" applyFont="1" applyFill="1"/>
    <xf numFmtId="168" fontId="17" fillId="0" borderId="0" xfId="0" applyNumberFormat="1" applyFont="1"/>
    <xf numFmtId="168" fontId="17" fillId="0" borderId="2" xfId="0" applyNumberFormat="1" applyFont="1" applyBorder="1"/>
    <xf numFmtId="168" fontId="16" fillId="6" borderId="0" xfId="0" applyNumberFormat="1" applyFont="1" applyFill="1"/>
    <xf numFmtId="168" fontId="17" fillId="0" borderId="3" xfId="0" applyNumberFormat="1" applyFont="1" applyBorder="1"/>
    <xf numFmtId="168" fontId="21" fillId="4" borderId="0" xfId="0" applyNumberFormat="1" applyFont="1" applyFill="1"/>
    <xf numFmtId="168" fontId="16" fillId="4" borderId="0" xfId="0" applyNumberFormat="1" applyFont="1" applyFill="1"/>
    <xf numFmtId="168" fontId="17" fillId="4" borderId="0" xfId="0" applyNumberFormat="1" applyFont="1" applyFill="1"/>
    <xf numFmtId="168" fontId="20" fillId="4" borderId="0" xfId="0" applyNumberFormat="1" applyFont="1" applyFill="1"/>
    <xf numFmtId="4" fontId="16" fillId="4" borderId="0" xfId="0" applyNumberFormat="1" applyFont="1" applyFill="1"/>
    <xf numFmtId="169" fontId="16" fillId="0" borderId="0" xfId="0" applyNumberFormat="1" applyFont="1"/>
    <xf numFmtId="168" fontId="19" fillId="0" borderId="0" xfId="0" applyNumberFormat="1" applyFont="1"/>
    <xf numFmtId="168" fontId="19" fillId="4" borderId="0" xfId="0" applyNumberFormat="1" applyFont="1" applyFill="1"/>
    <xf numFmtId="3" fontId="16" fillId="4" borderId="0" xfId="0" applyNumberFormat="1" applyFont="1" applyFill="1"/>
    <xf numFmtId="3" fontId="19" fillId="4" borderId="0" xfId="0" applyNumberFormat="1" applyFont="1" applyFill="1"/>
    <xf numFmtId="0" fontId="16" fillId="4" borderId="0" xfId="0" applyFont="1" applyFill="1"/>
    <xf numFmtId="1" fontId="23" fillId="0" borderId="0" xfId="0" applyNumberFormat="1" applyFont="1" applyFill="1"/>
    <xf numFmtId="168" fontId="20" fillId="0" borderId="0" xfId="0" applyNumberFormat="1" applyFont="1" applyAlignment="1">
      <alignment horizontal="center"/>
    </xf>
    <xf numFmtId="168" fontId="23" fillId="0" borderId="0" xfId="0" applyNumberFormat="1" applyFont="1" applyAlignment="1">
      <alignment horizontal="right"/>
    </xf>
    <xf numFmtId="168" fontId="23" fillId="4" borderId="0" xfId="0" applyNumberFormat="1" applyFont="1" applyFill="1" applyAlignment="1">
      <alignment horizontal="right"/>
    </xf>
    <xf numFmtId="168" fontId="23" fillId="0" borderId="0" xfId="0" applyNumberFormat="1" applyFont="1"/>
    <xf numFmtId="168" fontId="23" fillId="4" borderId="0" xfId="0" applyNumberFormat="1" applyFont="1" applyFill="1"/>
    <xf numFmtId="168" fontId="24" fillId="5" borderId="0" xfId="0" applyNumberFormat="1" applyFont="1" applyFill="1"/>
    <xf numFmtId="168" fontId="23" fillId="5" borderId="0" xfId="0" applyNumberFormat="1" applyFont="1" applyFill="1"/>
    <xf numFmtId="168" fontId="0" fillId="0" borderId="0" xfId="0" applyNumberFormat="1"/>
    <xf numFmtId="168" fontId="25" fillId="0" borderId="0" xfId="0" applyNumberFormat="1" applyFont="1" applyAlignment="1">
      <alignment horizontal="right"/>
    </xf>
    <xf numFmtId="168" fontId="0" fillId="0" borderId="0" xfId="0" applyNumberFormat="1" applyAlignment="1">
      <alignment horizontal="right"/>
    </xf>
    <xf numFmtId="168" fontId="0" fillId="0" borderId="0" xfId="0" applyNumberFormat="1" applyAlignment="1">
      <alignment horizontal="right" vertical="center"/>
    </xf>
    <xf numFmtId="168" fontId="0" fillId="6" borderId="0" xfId="0" applyNumberFormat="1" applyFill="1"/>
    <xf numFmtId="0" fontId="3" fillId="3" borderId="0" xfId="0" applyFont="1" applyFill="1" applyAlignment="1">
      <alignment vertical="top"/>
    </xf>
    <xf numFmtId="0" fontId="3" fillId="3" borderId="0" xfId="0" applyFont="1" applyFill="1" applyAlignment="1">
      <alignment vertical="top" wrapText="1"/>
    </xf>
  </cellXfs>
  <cellStyles count="3">
    <cellStyle name="Hyperlink" xfId="2" builtinId="8"/>
    <cellStyle name="Normal" xfId="0" builtinId="0"/>
    <cellStyle name="Percent" xfId="1" builtinId="5"/>
  </cellStyles>
  <dxfs count="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F7C00"/>
      <color rgb="FFFFFFCC"/>
      <color rgb="FFFFFF99"/>
      <color rgb="FFFFFF66"/>
      <color rgb="FF004646"/>
      <color rgb="FF007300"/>
      <color rgb="FF005A46"/>
      <color rgb="FF005A00"/>
      <color rgb="FF006600"/>
      <color rgb="FF00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Cumulatieve</a:t>
            </a:r>
            <a:r>
              <a:rPr lang="en-US" b="1" baseline="0"/>
              <a:t> Contante Waarde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Dashboard!$AF$7</c:f>
              <c:strCache>
                <c:ptCount val="1"/>
                <c:pt idx="0">
                  <c:v>Hoog</c:v>
                </c:pt>
              </c:strCache>
            </c:strRef>
          </c:tx>
          <c:spPr>
            <a:ln w="28575" cap="rnd">
              <a:solidFill>
                <a:srgbClr val="00B050"/>
              </a:solidFill>
              <a:prstDash val="sysDot"/>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Dashboard!$AI$7:$AN$7</c:f>
              <c:numCache>
                <c:formatCode>"€"\ #,##0;\-"€"\ #,##0;\-</c:formatCode>
                <c:ptCount val="6"/>
                <c:pt idx="0">
                  <c:v>-1602.5</c:v>
                </c:pt>
                <c:pt idx="1">
                  <c:v>-876.62280701754389</c:v>
                </c:pt>
                <c:pt idx="2">
                  <c:v>-220.65173899661454</c:v>
                </c:pt>
                <c:pt idx="3">
                  <c:v>344.63690582257391</c:v>
                </c:pt>
                <c:pt idx="4">
                  <c:v>840.50413812010754</c:v>
                </c:pt>
                <c:pt idx="5">
                  <c:v>1452.0607404037901</c:v>
                </c:pt>
              </c:numCache>
            </c:numRef>
          </c:val>
          <c:smooth val="0"/>
          <c:extLst>
            <c:ext xmlns:c16="http://schemas.microsoft.com/office/drawing/2014/chart" uri="{C3380CC4-5D6E-409C-BE32-E72D297353CC}">
              <c16:uniqueId val="{00000000-C9F9-4380-92BA-19934494F67B}"/>
            </c:ext>
          </c:extLst>
        </c:ser>
        <c:ser>
          <c:idx val="1"/>
          <c:order val="1"/>
          <c:tx>
            <c:strRef>
              <c:f>Dashboard!$AF$8</c:f>
              <c:strCache>
                <c:ptCount val="1"/>
                <c:pt idx="0">
                  <c:v>Basis</c:v>
                </c:pt>
              </c:strCache>
            </c:strRef>
          </c:tx>
          <c:spPr>
            <a:ln w="28575" cap="rnd">
              <a:solidFill>
                <a:schemeClr val="accent1"/>
              </a:solidFill>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Dashboard!$AI$8:$AN$8</c:f>
              <c:numCache>
                <c:formatCode>"€"\ #,##0;\-"€"\ #,##0;\-</c:formatCode>
                <c:ptCount val="6"/>
                <c:pt idx="0">
                  <c:v>-1502.5</c:v>
                </c:pt>
                <c:pt idx="1">
                  <c:v>-886.02272727272725</c:v>
                </c:pt>
                <c:pt idx="2">
                  <c:v>-304.92768595041332</c:v>
                </c:pt>
                <c:pt idx="3">
                  <c:v>212.07081141998469</c:v>
                </c:pt>
                <c:pt idx="4">
                  <c:v>682.06944539307392</c:v>
                </c:pt>
                <c:pt idx="5">
                  <c:v>1320.4541806632676</c:v>
                </c:pt>
              </c:numCache>
            </c:numRef>
          </c:val>
          <c:smooth val="0"/>
          <c:extLst>
            <c:ext xmlns:c16="http://schemas.microsoft.com/office/drawing/2014/chart" uri="{C3380CC4-5D6E-409C-BE32-E72D297353CC}">
              <c16:uniqueId val="{00000001-C9F9-4380-92BA-19934494F67B}"/>
            </c:ext>
          </c:extLst>
        </c:ser>
        <c:ser>
          <c:idx val="2"/>
          <c:order val="2"/>
          <c:tx>
            <c:strRef>
              <c:f>Dashboard!$AF$9</c:f>
              <c:strCache>
                <c:ptCount val="1"/>
                <c:pt idx="0">
                  <c:v>Laag</c:v>
                </c:pt>
              </c:strCache>
            </c:strRef>
          </c:tx>
          <c:spPr>
            <a:ln w="28575" cap="rnd">
              <a:solidFill>
                <a:schemeClr val="accent2"/>
              </a:solidFill>
              <a:prstDash val="sysDot"/>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Dashboard!$AI$9:$AN$9</c:f>
              <c:numCache>
                <c:formatCode>"€"\ #,##0;\-"€"\ #,##0;\-</c:formatCode>
                <c:ptCount val="6"/>
                <c:pt idx="0">
                  <c:v>-1502.5</c:v>
                </c:pt>
                <c:pt idx="1">
                  <c:v>-1023.8675213675212</c:v>
                </c:pt>
                <c:pt idx="2">
                  <c:v>-596.51709401709388</c:v>
                </c:pt>
                <c:pt idx="3">
                  <c:v>-240.6258768504</c:v>
                </c:pt>
                <c:pt idx="4">
                  <c:v>63.554650642500803</c:v>
                </c:pt>
                <c:pt idx="5">
                  <c:v>478.61579926829137</c:v>
                </c:pt>
              </c:numCache>
            </c:numRef>
          </c:val>
          <c:smooth val="0"/>
          <c:extLst>
            <c:ext xmlns:c16="http://schemas.microsoft.com/office/drawing/2014/chart" uri="{C3380CC4-5D6E-409C-BE32-E72D297353CC}">
              <c16:uniqueId val="{00000002-C9F9-4380-92BA-19934494F67B}"/>
            </c:ext>
          </c:extLst>
        </c:ser>
        <c:ser>
          <c:idx val="3"/>
          <c:order val="3"/>
          <c:tx>
            <c:strRef>
              <c:f>Dashboard!$AF$10</c:f>
              <c:strCache>
                <c:ptCount val="1"/>
                <c:pt idx="0">
                  <c:v>Flex</c:v>
                </c:pt>
              </c:strCache>
            </c:strRef>
          </c:tx>
          <c:spPr>
            <a:ln w="28575" cap="rnd">
              <a:solidFill>
                <a:schemeClr val="tx2">
                  <a:lumMod val="40000"/>
                  <a:lumOff val="60000"/>
                </a:schemeClr>
              </a:solidFill>
              <a:prstDash val="dash"/>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Dashboard!$AI$10:$AN$10</c:f>
              <c:numCache>
                <c:formatCode>"€"\ #,##0;\-"€"\ #,##0;\-</c:formatCode>
                <c:ptCount val="6"/>
                <c:pt idx="0">
                  <c:v>-1677.5</c:v>
                </c:pt>
                <c:pt idx="1">
                  <c:v>-1090</c:v>
                </c:pt>
                <c:pt idx="2">
                  <c:v>-560.22684310018894</c:v>
                </c:pt>
                <c:pt idx="3">
                  <c:v>-109.41727623900698</c:v>
                </c:pt>
                <c:pt idx="4">
                  <c:v>282.59104277071657</c:v>
                </c:pt>
                <c:pt idx="5">
                  <c:v>867.08444220576871</c:v>
                </c:pt>
              </c:numCache>
            </c:numRef>
          </c:val>
          <c:smooth val="0"/>
          <c:extLst>
            <c:ext xmlns:c16="http://schemas.microsoft.com/office/drawing/2014/chart" uri="{C3380CC4-5D6E-409C-BE32-E72D297353CC}">
              <c16:uniqueId val="{00000003-C9F9-4380-92BA-19934494F67B}"/>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0" sourceLinked="1"/>
        <c:majorTickMark val="cross"/>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midCat"/>
        <c:majorUnit val="500"/>
      </c:valAx>
      <c:spPr>
        <a:noFill/>
        <a:ln>
          <a:noFill/>
        </a:ln>
        <a:effectLst/>
      </c:spPr>
    </c:plotArea>
    <c:legend>
      <c:legendPos val="r"/>
      <c:layout>
        <c:manualLayout>
          <c:xMode val="edge"/>
          <c:yMode val="edge"/>
          <c:x val="0.7373783678184006"/>
          <c:y val="0.67289286786458768"/>
          <c:w val="0.2111290320613344"/>
          <c:h val="0.24164835583017505"/>
        </c:manualLayout>
      </c:layout>
      <c:overlay val="1"/>
      <c:spPr>
        <a:solidFill>
          <a:schemeClr val="bg1"/>
        </a:solidFill>
        <a:ln>
          <a:solidFill>
            <a:schemeClr val="bg1">
              <a:lumMod val="65000"/>
            </a:scheme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ICR</a:t>
            </a:r>
            <a:r>
              <a:rPr lang="en-US" b="1" baseline="0"/>
              <a:t> en DSCR</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Dashboard!$AF$26</c:f>
              <c:strCache>
                <c:ptCount val="1"/>
              </c:strCache>
            </c:strRef>
          </c:tx>
          <c:spPr>
            <a:ln w="28575" cap="rnd">
              <a:solidFill>
                <a:schemeClr val="accent1"/>
              </a:solidFill>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Dashboard!$AI$26:$AN$26</c:f>
              <c:numCache>
                <c:formatCode>0.0</c:formatCode>
                <c:ptCount val="6"/>
              </c:numCache>
            </c:numRef>
          </c:val>
          <c:smooth val="0"/>
          <c:extLst>
            <c:ext xmlns:c16="http://schemas.microsoft.com/office/drawing/2014/chart" uri="{C3380CC4-5D6E-409C-BE32-E72D297353CC}">
              <c16:uniqueId val="{00000001-FAB8-4911-A812-47427CC89253}"/>
            </c:ext>
          </c:extLst>
        </c:ser>
        <c:ser>
          <c:idx val="1"/>
          <c:order val="1"/>
          <c:tx>
            <c:strRef>
              <c:f>Dashboard!$AF$27</c:f>
              <c:strCache>
                <c:ptCount val="1"/>
              </c:strCache>
            </c:strRef>
          </c:tx>
          <c:spPr>
            <a:ln w="28575" cap="rnd">
              <a:solidFill>
                <a:schemeClr val="accent2"/>
              </a:solidFill>
              <a:round/>
            </a:ln>
            <a:effectLst/>
          </c:spPr>
          <c:marker>
            <c:symbol val="none"/>
          </c:marker>
          <c:val>
            <c:numRef>
              <c:f>Dashboard!$AI$27:$AN$27</c:f>
              <c:numCache>
                <c:formatCode>0.0</c:formatCode>
                <c:ptCount val="6"/>
              </c:numCache>
            </c:numRef>
          </c:val>
          <c:smooth val="0"/>
          <c:extLst>
            <c:ext xmlns:c16="http://schemas.microsoft.com/office/drawing/2014/chart" uri="{C3380CC4-5D6E-409C-BE32-E72D297353CC}">
              <c16:uniqueId val="{00000002-FAB8-4911-A812-47427CC89253}"/>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Netto</a:t>
            </a:r>
            <a:r>
              <a:rPr lang="en-US" b="1" baseline="0"/>
              <a:t> Contante Waarde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Dashboard!$AH$12</c:f>
              <c:strCache>
                <c:ptCount val="1"/>
                <c:pt idx="0">
                  <c:v>NCW</c:v>
                </c:pt>
              </c:strCache>
            </c:strRef>
          </c:tx>
          <c:spPr>
            <a:solidFill>
              <a:schemeClr val="accent1"/>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CEEC-4BC8-9A29-F4718AAAEC83}"/>
                </c:ext>
              </c:extLst>
            </c:dLbl>
            <c:dLbl>
              <c:idx val="1"/>
              <c:delete val="1"/>
              <c:extLst>
                <c:ext xmlns:c15="http://schemas.microsoft.com/office/drawing/2012/chart" uri="{CE6537A1-D6FC-4f65-9D91-7224C49458BB}"/>
                <c:ext xmlns:c16="http://schemas.microsoft.com/office/drawing/2014/chart" uri="{C3380CC4-5D6E-409C-BE32-E72D297353CC}">
                  <c16:uniqueId val="{00000001-CEEC-4BC8-9A29-F4718AAAEC83}"/>
                </c:ext>
              </c:extLst>
            </c:dLbl>
            <c:dLbl>
              <c:idx val="2"/>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solidFill>
                          <a:schemeClr val="accent1"/>
                        </a:solidFill>
                      </a:ln>
                      <a:solidFill>
                        <a:schemeClr val="accent1"/>
                      </a:solidFill>
                      <a:latin typeface="+mn-lt"/>
                      <a:ea typeface="+mn-ea"/>
                      <a:cs typeface="+mn-cs"/>
                    </a:defRPr>
                  </a:pPr>
                  <a:endParaRPr lang="nl-NL"/>
                </a:p>
              </c:txPr>
              <c:showLegendKey val="0"/>
              <c:showVal val="1"/>
              <c:showCatName val="0"/>
              <c:showSerName val="0"/>
              <c:showPercent val="0"/>
              <c:showBubbleSize val="0"/>
              <c:extLst>
                <c:ext xmlns:c16="http://schemas.microsoft.com/office/drawing/2014/chart" uri="{C3380CC4-5D6E-409C-BE32-E72D297353CC}">
                  <c16:uniqueId val="{00000003-CEEC-4BC8-9A29-F4718AAAEC83}"/>
                </c:ext>
              </c:extLst>
            </c:dLbl>
            <c:dLbl>
              <c:idx val="3"/>
              <c:delete val="1"/>
              <c:extLst>
                <c:ext xmlns:c15="http://schemas.microsoft.com/office/drawing/2012/chart" uri="{CE6537A1-D6FC-4f65-9D91-7224C49458BB}"/>
                <c:ext xmlns:c16="http://schemas.microsoft.com/office/drawing/2014/chart" uri="{C3380CC4-5D6E-409C-BE32-E72D297353CC}">
                  <c16:uniqueId val="{00000000-CEEC-4BC8-9A29-F4718AAAEC8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Dashboard!$AF$18:$AF$21</c:f>
              <c:strCache>
                <c:ptCount val="4"/>
                <c:pt idx="0">
                  <c:v>Laag</c:v>
                </c:pt>
                <c:pt idx="1">
                  <c:v>Flex</c:v>
                </c:pt>
                <c:pt idx="2">
                  <c:v>Basis</c:v>
                </c:pt>
                <c:pt idx="3">
                  <c:v>Hoog</c:v>
                </c:pt>
              </c:strCache>
            </c:strRef>
          </c:cat>
          <c:val>
            <c:numRef>
              <c:f>Dashboard!$AH$18:$AH$21</c:f>
              <c:numCache>
                <c:formatCode>"€"\ #,##0;\-"€"\ #,##0;\-</c:formatCode>
                <c:ptCount val="4"/>
                <c:pt idx="0">
                  <c:v>478.61779926829138</c:v>
                </c:pt>
                <c:pt idx="1">
                  <c:v>867.08544220576869</c:v>
                </c:pt>
                <c:pt idx="2">
                  <c:v>1320.4541806632676</c:v>
                </c:pt>
                <c:pt idx="3">
                  <c:v>1452.0597404037901</c:v>
                </c:pt>
              </c:numCache>
            </c:numRef>
          </c:val>
          <c:extLst>
            <c:ext xmlns:c16="http://schemas.microsoft.com/office/drawing/2014/chart" uri="{C3380CC4-5D6E-409C-BE32-E72D297353CC}">
              <c16:uniqueId val="{00000004-4659-4441-A88C-579EA3986BE9}"/>
            </c:ext>
          </c:extLst>
        </c:ser>
        <c:dLbls>
          <c:showLegendKey val="0"/>
          <c:showVal val="1"/>
          <c:showCatName val="0"/>
          <c:showSerName val="0"/>
          <c:showPercent val="0"/>
          <c:showBubbleSize val="0"/>
        </c:dLbls>
        <c:gapWidth val="150"/>
        <c:axId val="559422479"/>
        <c:axId val="455299359"/>
      </c:barChart>
      <c:catAx>
        <c:axId val="559422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b"/>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nl-NL" b="1"/>
              <a:t>Sensitivity</a:t>
            </a:r>
            <a:r>
              <a:rPr lang="nl-NL" b="1" baseline="0"/>
              <a:t> analyse +/- 10% Basis</a:t>
            </a:r>
            <a:endParaRPr lang="nl-NL"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stacked"/>
        <c:varyColors val="0"/>
        <c:ser>
          <c:idx val="1"/>
          <c:order val="1"/>
          <c:tx>
            <c:strRef>
              <c:f>Dashboard!$BF$8</c:f>
              <c:strCache>
                <c:ptCount val="1"/>
                <c:pt idx="0">
                  <c:v>Δ +10%</c:v>
                </c:pt>
              </c:strCache>
            </c:strRef>
          </c:tx>
          <c:spPr>
            <a:solidFill>
              <a:schemeClr val="accent1"/>
            </a:solidFill>
            <a:ln>
              <a:noFill/>
            </a:ln>
            <a:effectLst/>
          </c:spPr>
          <c:invertIfNegative val="0"/>
          <c:cat>
            <c:strRef>
              <c:f>Dashboard!$BD$9:$BD$13</c:f>
              <c:strCache>
                <c:ptCount val="5"/>
                <c:pt idx="0">
                  <c:v>Restwaarde</c:v>
                </c:pt>
                <c:pt idx="1">
                  <c:v>Disc voet</c:v>
                </c:pt>
                <c:pt idx="2">
                  <c:v>Kostprijs</c:v>
                </c:pt>
                <c:pt idx="3">
                  <c:v>Investering</c:v>
                </c:pt>
                <c:pt idx="4">
                  <c:v>Opbrengsten</c:v>
                </c:pt>
              </c:strCache>
            </c:strRef>
          </c:cat>
          <c:val>
            <c:numRef>
              <c:f>Dashboard!$BF$9:$BF$13</c:f>
              <c:numCache>
                <c:formatCode>0.0%</c:formatCode>
                <c:ptCount val="5"/>
                <c:pt idx="0">
                  <c:v>9.8007638032251432E-3</c:v>
                </c:pt>
                <c:pt idx="1">
                  <c:v>-5.6629201875151636E-2</c:v>
                </c:pt>
                <c:pt idx="2">
                  <c:v>-6.593915554579477E-2</c:v>
                </c:pt>
                <c:pt idx="3">
                  <c:v>-9.2066124678686134E-2</c:v>
                </c:pt>
                <c:pt idx="4">
                  <c:v>0.18462963552822553</c:v>
                </c:pt>
              </c:numCache>
            </c:numRef>
          </c:val>
          <c:extLst>
            <c:ext xmlns:c16="http://schemas.microsoft.com/office/drawing/2014/chart" uri="{C3380CC4-5D6E-409C-BE32-E72D297353CC}">
              <c16:uniqueId val="{00000001-9E9D-46C4-A792-CE1C651C0CC0}"/>
            </c:ext>
          </c:extLst>
        </c:ser>
        <c:ser>
          <c:idx val="2"/>
          <c:order val="2"/>
          <c:tx>
            <c:strRef>
              <c:f>Dashboard!$BG$8</c:f>
              <c:strCache>
                <c:ptCount val="1"/>
                <c:pt idx="0">
                  <c:v>Δ -10%</c:v>
                </c:pt>
              </c:strCache>
            </c:strRef>
          </c:tx>
          <c:spPr>
            <a:solidFill>
              <a:schemeClr val="accent2"/>
            </a:solidFill>
            <a:ln>
              <a:noFill/>
            </a:ln>
            <a:effectLst/>
          </c:spPr>
          <c:invertIfNegative val="0"/>
          <c:cat>
            <c:strRef>
              <c:f>Dashboard!$BD$9:$BD$13</c:f>
              <c:strCache>
                <c:ptCount val="5"/>
                <c:pt idx="0">
                  <c:v>Restwaarde</c:v>
                </c:pt>
                <c:pt idx="1">
                  <c:v>Disc voet</c:v>
                </c:pt>
                <c:pt idx="2">
                  <c:v>Kostprijs</c:v>
                </c:pt>
                <c:pt idx="3">
                  <c:v>Investering</c:v>
                </c:pt>
                <c:pt idx="4">
                  <c:v>Opbrengsten</c:v>
                </c:pt>
              </c:strCache>
            </c:strRef>
          </c:cat>
          <c:val>
            <c:numRef>
              <c:f>Dashboard!$BG$9:$BG$13</c:f>
              <c:numCache>
                <c:formatCode>0.0%</c:formatCode>
                <c:ptCount val="5"/>
                <c:pt idx="0">
                  <c:v>-9.8007638032254762E-3</c:v>
                </c:pt>
                <c:pt idx="1">
                  <c:v>5.9100615066600026E-2</c:v>
                </c:pt>
                <c:pt idx="2">
                  <c:v>6.5939155545794659E-2</c:v>
                </c:pt>
                <c:pt idx="3">
                  <c:v>9.2066124678686023E-2</c:v>
                </c:pt>
                <c:pt idx="4">
                  <c:v>-0.18462963552822564</c:v>
                </c:pt>
              </c:numCache>
            </c:numRef>
          </c:val>
          <c:extLst>
            <c:ext xmlns:c16="http://schemas.microsoft.com/office/drawing/2014/chart" uri="{C3380CC4-5D6E-409C-BE32-E72D297353CC}">
              <c16:uniqueId val="{00000002-9E9D-46C4-A792-CE1C651C0CC0}"/>
            </c:ext>
          </c:extLst>
        </c:ser>
        <c:dLbls>
          <c:showLegendKey val="0"/>
          <c:showVal val="0"/>
          <c:showCatName val="0"/>
          <c:showSerName val="0"/>
          <c:showPercent val="0"/>
          <c:showBubbleSize val="0"/>
        </c:dLbls>
        <c:gapWidth val="150"/>
        <c:overlap val="100"/>
        <c:axId val="1787097167"/>
        <c:axId val="1903877727"/>
        <c:extLst>
          <c:ext xmlns:c15="http://schemas.microsoft.com/office/drawing/2012/chart" uri="{02D57815-91ED-43cb-92C2-25804820EDAC}">
            <c15:filteredBarSeries>
              <c15:ser>
                <c:idx val="0"/>
                <c:order val="0"/>
                <c:tx>
                  <c:strRef>
                    <c:extLst>
                      <c:ext uri="{02D57815-91ED-43cb-92C2-25804820EDAC}">
                        <c15:formulaRef>
                          <c15:sqref>Dashboard!$BE$8</c15:sqref>
                        </c15:formulaRef>
                      </c:ext>
                    </c:extLst>
                    <c:strCache>
                      <c:ptCount val="1"/>
                    </c:strCache>
                  </c:strRef>
                </c:tx>
                <c:spPr>
                  <a:solidFill>
                    <a:schemeClr val="accent1"/>
                  </a:solidFill>
                  <a:ln>
                    <a:noFill/>
                  </a:ln>
                  <a:effectLst/>
                </c:spPr>
                <c:invertIfNegative val="0"/>
                <c:cat>
                  <c:strRef>
                    <c:extLst>
                      <c:ext uri="{02D57815-91ED-43cb-92C2-25804820EDAC}">
                        <c15:formulaRef>
                          <c15:sqref>Dashboard!$BD$9:$BD$13</c15:sqref>
                        </c15:formulaRef>
                      </c:ext>
                    </c:extLst>
                    <c:strCache>
                      <c:ptCount val="5"/>
                      <c:pt idx="0">
                        <c:v>Restwaarde</c:v>
                      </c:pt>
                      <c:pt idx="1">
                        <c:v>Disc voet</c:v>
                      </c:pt>
                      <c:pt idx="2">
                        <c:v>Kostprijs</c:v>
                      </c:pt>
                      <c:pt idx="3">
                        <c:v>Investering</c:v>
                      </c:pt>
                      <c:pt idx="4">
                        <c:v>Opbrengsten</c:v>
                      </c:pt>
                    </c:strCache>
                  </c:strRef>
                </c:cat>
                <c:val>
                  <c:numRef>
                    <c:extLst>
                      <c:ext uri="{02D57815-91ED-43cb-92C2-25804820EDAC}">
                        <c15:formulaRef>
                          <c15:sqref>Dashboard!$BE$9:$BE$13</c15:sqref>
                        </c15:formulaRef>
                      </c:ext>
                    </c:extLst>
                    <c:numCache>
                      <c:formatCode>General</c:formatCode>
                      <c:ptCount val="5"/>
                    </c:numCache>
                  </c:numRef>
                </c:val>
                <c:extLst>
                  <c:ext xmlns:c16="http://schemas.microsoft.com/office/drawing/2014/chart" uri="{C3380CC4-5D6E-409C-BE32-E72D297353CC}">
                    <c16:uniqueId val="{00000000-9E9D-46C4-A792-CE1C651C0CC0}"/>
                  </c:ext>
                </c:extLst>
              </c15:ser>
            </c15:filteredBarSeries>
          </c:ext>
        </c:extLst>
      </c:barChart>
      <c:catAx>
        <c:axId val="1787097167"/>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1903877727"/>
        <c:crosses val="autoZero"/>
        <c:auto val="1"/>
        <c:lblAlgn val="ctr"/>
        <c:lblOffset val="100"/>
        <c:noMultiLvlLbl val="0"/>
      </c:catAx>
      <c:valAx>
        <c:axId val="190387772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a:t>
                </a:r>
                <a:r>
                  <a:rPr lang="nl-NL" baseline="0"/>
                  <a:t> verandering NCW</a:t>
                </a:r>
                <a:endParaRPr lang="nl-NL"/>
              </a:p>
            </c:rich>
          </c:tx>
          <c:layout>
            <c:manualLayout>
              <c:xMode val="edge"/>
              <c:yMode val="edge"/>
              <c:x val="0.4402407505893921"/>
              <c:y val="0.9274939051750349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1787097167"/>
        <c:crosses val="autoZero"/>
        <c:crossBetween val="between"/>
      </c:valAx>
      <c:spPr>
        <a:noFill/>
        <a:ln>
          <a:noFill/>
        </a:ln>
        <a:effectLst/>
      </c:spPr>
    </c:plotArea>
    <c:legend>
      <c:legendPos val="b"/>
      <c:layout>
        <c:manualLayout>
          <c:xMode val="edge"/>
          <c:yMode val="edge"/>
          <c:x val="0.68670412195863395"/>
          <c:y val="0.74207503218361448"/>
          <c:w val="0.24341414059797331"/>
          <c:h val="6.0556621121719049E-2"/>
        </c:manualLayout>
      </c:layout>
      <c:overlay val="1"/>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169333</xdr:colOff>
      <xdr:row>12</xdr:row>
      <xdr:rowOff>169332</xdr:rowOff>
    </xdr:from>
    <xdr:to>
      <xdr:col>11</xdr:col>
      <xdr:colOff>135467</xdr:colOff>
      <xdr:row>31</xdr:row>
      <xdr:rowOff>177800</xdr:rowOff>
    </xdr:to>
    <xdr:graphicFrame macro="">
      <xdr:nvGraphicFramePr>
        <xdr:cNvPr id="2" name="Chart 1">
          <a:extLst>
            <a:ext uri="{FF2B5EF4-FFF2-40B4-BE49-F238E27FC236}">
              <a16:creationId xmlns:a16="http://schemas.microsoft.com/office/drawing/2014/main" id="{F22B473E-4B63-47EB-BB89-C407721097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67734</xdr:colOff>
      <xdr:row>29</xdr:row>
      <xdr:rowOff>177800</xdr:rowOff>
    </xdr:from>
    <xdr:to>
      <xdr:col>37</xdr:col>
      <xdr:colOff>488526</xdr:colOff>
      <xdr:row>39</xdr:row>
      <xdr:rowOff>67733</xdr:rowOff>
    </xdr:to>
    <xdr:graphicFrame macro="">
      <xdr:nvGraphicFramePr>
        <xdr:cNvPr id="14" name="Chart 13">
          <a:extLst>
            <a:ext uri="{FF2B5EF4-FFF2-40B4-BE49-F238E27FC236}">
              <a16:creationId xmlns:a16="http://schemas.microsoft.com/office/drawing/2014/main" id="{91FD7627-7392-49DA-B698-2EF0015A6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36</xdr:col>
      <xdr:colOff>169333</xdr:colOff>
      <xdr:row>33</xdr:row>
      <xdr:rowOff>101599</xdr:rowOff>
    </xdr:from>
    <xdr:to>
      <xdr:col>36</xdr:col>
      <xdr:colOff>558800</xdr:colOff>
      <xdr:row>34</xdr:row>
      <xdr:rowOff>84669</xdr:rowOff>
    </xdr:to>
    <xdr:sp macro="" textlink="">
      <xdr:nvSpPr>
        <xdr:cNvPr id="15" name="TextBox 14">
          <a:extLst>
            <a:ext uri="{FF2B5EF4-FFF2-40B4-BE49-F238E27FC236}">
              <a16:creationId xmlns:a16="http://schemas.microsoft.com/office/drawing/2014/main" id="{3234FB1B-02BE-4476-B1B1-912407262F91}"/>
            </a:ext>
          </a:extLst>
        </xdr:cNvPr>
        <xdr:cNvSpPr txBox="1"/>
      </xdr:nvSpPr>
      <xdr:spPr>
        <a:xfrm>
          <a:off x="2387600" y="12403666"/>
          <a:ext cx="389467" cy="169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1">
                  <a:lumMod val="75000"/>
                </a:schemeClr>
              </a:solidFill>
            </a:rPr>
            <a:t>ICR</a:t>
          </a:r>
        </a:p>
      </xdr:txBody>
    </xdr:sp>
    <xdr:clientData/>
  </xdr:twoCellAnchor>
  <xdr:twoCellAnchor>
    <xdr:from>
      <xdr:col>36</xdr:col>
      <xdr:colOff>330199</xdr:colOff>
      <xdr:row>35</xdr:row>
      <xdr:rowOff>93133</xdr:rowOff>
    </xdr:from>
    <xdr:to>
      <xdr:col>37</xdr:col>
      <xdr:colOff>143933</xdr:colOff>
      <xdr:row>36</xdr:row>
      <xdr:rowOff>84667</xdr:rowOff>
    </xdr:to>
    <xdr:sp macro="" textlink="">
      <xdr:nvSpPr>
        <xdr:cNvPr id="16" name="TextBox 15">
          <a:extLst>
            <a:ext uri="{FF2B5EF4-FFF2-40B4-BE49-F238E27FC236}">
              <a16:creationId xmlns:a16="http://schemas.microsoft.com/office/drawing/2014/main" id="{444CD3D8-867A-4F5B-8E64-D84F49C44F5E}"/>
            </a:ext>
          </a:extLst>
        </xdr:cNvPr>
        <xdr:cNvSpPr txBox="1"/>
      </xdr:nvSpPr>
      <xdr:spPr>
        <a:xfrm>
          <a:off x="2548466" y="12767733"/>
          <a:ext cx="423334"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DSCR</a:t>
          </a:r>
        </a:p>
      </xdr:txBody>
    </xdr:sp>
    <xdr:clientData/>
  </xdr:twoCellAnchor>
  <xdr:twoCellAnchor>
    <xdr:from>
      <xdr:col>15</xdr:col>
      <xdr:colOff>59262</xdr:colOff>
      <xdr:row>3</xdr:row>
      <xdr:rowOff>101602</xdr:rowOff>
    </xdr:from>
    <xdr:to>
      <xdr:col>20</xdr:col>
      <xdr:colOff>126994</xdr:colOff>
      <xdr:row>12</xdr:row>
      <xdr:rowOff>59270</xdr:rowOff>
    </xdr:to>
    <xdr:graphicFrame macro="">
      <xdr:nvGraphicFramePr>
        <xdr:cNvPr id="8" name="Chart 7">
          <a:extLst>
            <a:ext uri="{FF2B5EF4-FFF2-40B4-BE49-F238E27FC236}">
              <a16:creationId xmlns:a16="http://schemas.microsoft.com/office/drawing/2014/main" id="{3050D7B0-EB47-47FC-B211-1C38A07102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541867</xdr:colOff>
      <xdr:row>12</xdr:row>
      <xdr:rowOff>169332</xdr:rowOff>
    </xdr:from>
    <xdr:to>
      <xdr:col>20</xdr:col>
      <xdr:colOff>59267</xdr:colOff>
      <xdr:row>31</xdr:row>
      <xdr:rowOff>169333</xdr:rowOff>
    </xdr:to>
    <xdr:graphicFrame macro="">
      <xdr:nvGraphicFramePr>
        <xdr:cNvPr id="3" name="Chart 2">
          <a:extLst>
            <a:ext uri="{FF2B5EF4-FFF2-40B4-BE49-F238E27FC236}">
              <a16:creationId xmlns:a16="http://schemas.microsoft.com/office/drawing/2014/main" id="{E0A8514E-2BB6-43D3-BE39-1FFF655E35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270927</xdr:colOff>
      <xdr:row>8</xdr:row>
      <xdr:rowOff>42335</xdr:rowOff>
    </xdr:from>
    <xdr:to>
      <xdr:col>8</xdr:col>
      <xdr:colOff>389461</xdr:colOff>
      <xdr:row>8</xdr:row>
      <xdr:rowOff>143935</xdr:rowOff>
    </xdr:to>
    <xdr:sp macro="" textlink="">
      <xdr:nvSpPr>
        <xdr:cNvPr id="3" name="Arrow: Down 2">
          <a:extLst>
            <a:ext uri="{FF2B5EF4-FFF2-40B4-BE49-F238E27FC236}">
              <a16:creationId xmlns:a16="http://schemas.microsoft.com/office/drawing/2014/main" id="{10D9A776-FB50-4A62-9275-E8B6126A8D1E}"/>
            </a:ext>
          </a:extLst>
        </xdr:cNvPr>
        <xdr:cNvSpPr/>
      </xdr:nvSpPr>
      <xdr:spPr>
        <a:xfrm>
          <a:off x="5731927" y="1354668"/>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262466</xdr:colOff>
      <xdr:row>8</xdr:row>
      <xdr:rowOff>76196</xdr:rowOff>
    </xdr:from>
    <xdr:to>
      <xdr:col>8</xdr:col>
      <xdr:colOff>381000</xdr:colOff>
      <xdr:row>8</xdr:row>
      <xdr:rowOff>177796</xdr:rowOff>
    </xdr:to>
    <xdr:sp macro="" textlink="">
      <xdr:nvSpPr>
        <xdr:cNvPr id="3" name="Arrow: Down 2">
          <a:extLst>
            <a:ext uri="{FF2B5EF4-FFF2-40B4-BE49-F238E27FC236}">
              <a16:creationId xmlns:a16="http://schemas.microsoft.com/office/drawing/2014/main" id="{BCC2BC0B-84D0-481E-815C-4E5AAB75443A}"/>
            </a:ext>
          </a:extLst>
        </xdr:cNvPr>
        <xdr:cNvSpPr/>
      </xdr:nvSpPr>
      <xdr:spPr>
        <a:xfrm>
          <a:off x="5723466" y="1388529"/>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237071</xdr:colOff>
      <xdr:row>8</xdr:row>
      <xdr:rowOff>50800</xdr:rowOff>
    </xdr:from>
    <xdr:to>
      <xdr:col>8</xdr:col>
      <xdr:colOff>355605</xdr:colOff>
      <xdr:row>8</xdr:row>
      <xdr:rowOff>152400</xdr:rowOff>
    </xdr:to>
    <xdr:sp macro="" textlink="">
      <xdr:nvSpPr>
        <xdr:cNvPr id="3" name="Arrow: Down 2">
          <a:extLst>
            <a:ext uri="{FF2B5EF4-FFF2-40B4-BE49-F238E27FC236}">
              <a16:creationId xmlns:a16="http://schemas.microsoft.com/office/drawing/2014/main" id="{AFDF4E34-5934-4103-9E0D-530ECDBAAD6E}"/>
            </a:ext>
          </a:extLst>
        </xdr:cNvPr>
        <xdr:cNvSpPr/>
      </xdr:nvSpPr>
      <xdr:spPr>
        <a:xfrm>
          <a:off x="5698071" y="1363133"/>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262470</xdr:colOff>
      <xdr:row>8</xdr:row>
      <xdr:rowOff>101603</xdr:rowOff>
    </xdr:from>
    <xdr:to>
      <xdr:col>8</xdr:col>
      <xdr:colOff>381004</xdr:colOff>
      <xdr:row>9</xdr:row>
      <xdr:rowOff>16936</xdr:rowOff>
    </xdr:to>
    <xdr:sp macro="" textlink="">
      <xdr:nvSpPr>
        <xdr:cNvPr id="3" name="Arrow: Down 2">
          <a:extLst>
            <a:ext uri="{FF2B5EF4-FFF2-40B4-BE49-F238E27FC236}">
              <a16:creationId xmlns:a16="http://schemas.microsoft.com/office/drawing/2014/main" id="{CA3FF0F0-016C-444B-ACB2-250BAC6CB964}"/>
            </a:ext>
          </a:extLst>
        </xdr:cNvPr>
        <xdr:cNvSpPr/>
      </xdr:nvSpPr>
      <xdr:spPr>
        <a:xfrm>
          <a:off x="5723470" y="1413936"/>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270933</xdr:colOff>
      <xdr:row>8</xdr:row>
      <xdr:rowOff>59267</xdr:rowOff>
    </xdr:from>
    <xdr:to>
      <xdr:col>8</xdr:col>
      <xdr:colOff>389467</xdr:colOff>
      <xdr:row>8</xdr:row>
      <xdr:rowOff>160867</xdr:rowOff>
    </xdr:to>
    <xdr:sp macro="" textlink="">
      <xdr:nvSpPr>
        <xdr:cNvPr id="3" name="Arrow: Down 2">
          <a:extLst>
            <a:ext uri="{FF2B5EF4-FFF2-40B4-BE49-F238E27FC236}">
              <a16:creationId xmlns:a16="http://schemas.microsoft.com/office/drawing/2014/main" id="{0B0DC6F2-7C99-4744-AE3F-41AED417BBF6}"/>
            </a:ext>
          </a:extLst>
        </xdr:cNvPr>
        <xdr:cNvSpPr/>
      </xdr:nvSpPr>
      <xdr:spPr>
        <a:xfrm>
          <a:off x="5731933" y="1371600"/>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nowyourfinance.nl/" TargetMode="External"/><Relationship Id="rId1" Type="http://schemas.openxmlformats.org/officeDocument/2006/relationships/hyperlink" Target="mailto:info@knowyourfinance.n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B1BB-045C-4170-8173-13F70F5FDCE3}">
  <dimension ref="B1:F13"/>
  <sheetViews>
    <sheetView showGridLines="0" zoomScale="90" zoomScaleNormal="90" workbookViewId="0"/>
  </sheetViews>
  <sheetFormatPr defaultColWidth="9.109375" defaultRowHeight="14.4" x14ac:dyDescent="0.3"/>
  <cols>
    <col min="1" max="1" width="2.21875" style="6" customWidth="1"/>
    <col min="2" max="2" width="106.88671875" style="6" customWidth="1"/>
    <col min="3" max="3" width="9.109375" style="6"/>
    <col min="4" max="4" width="91.5546875" style="6" customWidth="1"/>
    <col min="5" max="16384" width="9.109375" style="6"/>
  </cols>
  <sheetData>
    <row r="1" spans="2:6" ht="18.600000000000001" customHeight="1" x14ac:dyDescent="0.3"/>
    <row r="2" spans="2:6" x14ac:dyDescent="0.3">
      <c r="B2" s="129" t="s">
        <v>223</v>
      </c>
      <c r="C2" s="5"/>
      <c r="D2" s="5"/>
      <c r="E2" s="5"/>
      <c r="F2" s="5"/>
    </row>
    <row r="4" spans="2:6" ht="48.6" customHeight="1" x14ac:dyDescent="0.3">
      <c r="B4" s="20" t="s">
        <v>224</v>
      </c>
    </row>
    <row r="5" spans="2:6" ht="18.600000000000001" customHeight="1" x14ac:dyDescent="0.3">
      <c r="B5" s="6" t="s">
        <v>225</v>
      </c>
    </row>
    <row r="6" spans="2:6" ht="50.4" customHeight="1" x14ac:dyDescent="0.3">
      <c r="B6" s="6" t="s">
        <v>226</v>
      </c>
    </row>
    <row r="7" spans="2:6" s="20" customFormat="1" ht="76.2" customHeight="1" x14ac:dyDescent="0.3">
      <c r="B7" s="6" t="s">
        <v>227</v>
      </c>
    </row>
    <row r="8" spans="2:6" s="20" customFormat="1" ht="36.6" customHeight="1" x14ac:dyDescent="0.3">
      <c r="B8" s="6" t="s">
        <v>228</v>
      </c>
    </row>
    <row r="9" spans="2:6" ht="78" customHeight="1" x14ac:dyDescent="0.3">
      <c r="B9" s="6" t="s">
        <v>229</v>
      </c>
    </row>
    <row r="10" spans="2:6" ht="33.6" customHeight="1" x14ac:dyDescent="0.3"/>
    <row r="11" spans="2:6" ht="62.4" customHeight="1" x14ac:dyDescent="0.3"/>
    <row r="12" spans="2:6" ht="51.6" customHeight="1" x14ac:dyDescent="0.3"/>
    <row r="13" spans="2:6" ht="62.4" customHeight="1" x14ac:dyDescent="0.3"/>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DE80A-79D1-46DF-95D8-CA3589A9130A}">
  <dimension ref="B1:O80"/>
  <sheetViews>
    <sheetView showGridLines="0" zoomScale="90" zoomScaleNormal="90" workbookViewId="0"/>
  </sheetViews>
  <sheetFormatPr defaultColWidth="9.109375" defaultRowHeight="14.4" outlineLevelRow="1" x14ac:dyDescent="0.3"/>
  <cols>
    <col min="1" max="1" width="2.21875" style="6" customWidth="1"/>
    <col min="2" max="2" width="106.88671875" style="6" customWidth="1"/>
    <col min="3" max="16384" width="9.109375" style="6"/>
  </cols>
  <sheetData>
    <row r="1" spans="2:6" ht="7.8" customHeight="1" x14ac:dyDescent="0.3"/>
    <row r="2" spans="2:6" ht="15.6" x14ac:dyDescent="0.3">
      <c r="B2" s="8" t="s">
        <v>8</v>
      </c>
    </row>
    <row r="4" spans="2:6" x14ac:dyDescent="0.3">
      <c r="B4" s="129" t="s">
        <v>205</v>
      </c>
      <c r="C4" s="5"/>
      <c r="D4" s="5"/>
      <c r="E4" s="5"/>
      <c r="F4" s="5"/>
    </row>
    <row r="5" spans="2:6" s="20" customFormat="1" outlineLevel="1" x14ac:dyDescent="0.3"/>
    <row r="6" spans="2:6" ht="34.799999999999997" customHeight="1" outlineLevel="1" x14ac:dyDescent="0.3">
      <c r="B6" s="6" t="s">
        <v>230</v>
      </c>
      <c r="D6" s="80"/>
    </row>
    <row r="7" spans="2:6" ht="49.2" customHeight="1" outlineLevel="1" x14ac:dyDescent="0.3">
      <c r="B7" s="6" t="s">
        <v>206</v>
      </c>
    </row>
    <row r="8" spans="2:6" outlineLevel="1" x14ac:dyDescent="0.3">
      <c r="B8" s="81" t="s">
        <v>207</v>
      </c>
      <c r="D8" s="82"/>
    </row>
    <row r="9" spans="2:6" outlineLevel="1" x14ac:dyDescent="0.3">
      <c r="B9" s="81" t="s">
        <v>208</v>
      </c>
      <c r="D9" s="82"/>
    </row>
    <row r="10" spans="2:6" ht="16.8" x14ac:dyDescent="0.3">
      <c r="B10" s="82"/>
      <c r="D10" s="80"/>
    </row>
    <row r="11" spans="2:6" x14ac:dyDescent="0.3">
      <c r="B11" s="129" t="s">
        <v>159</v>
      </c>
      <c r="C11" s="5"/>
      <c r="D11" s="5"/>
      <c r="E11" s="5"/>
      <c r="F11" s="5"/>
    </row>
    <row r="12" spans="2:6" s="20" customFormat="1" outlineLevel="1" x14ac:dyDescent="0.3"/>
    <row r="13" spans="2:6" s="20" customFormat="1" outlineLevel="1" x14ac:dyDescent="0.3">
      <c r="B13" s="20" t="s">
        <v>209</v>
      </c>
    </row>
    <row r="14" spans="2:6" s="20" customFormat="1" ht="51" customHeight="1" outlineLevel="1" x14ac:dyDescent="0.3">
      <c r="B14" s="20" t="s">
        <v>231</v>
      </c>
    </row>
    <row r="15" spans="2:6" s="20" customFormat="1" ht="48.6" customHeight="1" outlineLevel="1" x14ac:dyDescent="0.3">
      <c r="B15" s="20" t="s">
        <v>214</v>
      </c>
    </row>
    <row r="16" spans="2:6" s="20" customFormat="1" x14ac:dyDescent="0.3"/>
    <row r="17" spans="2:15" x14ac:dyDescent="0.3">
      <c r="B17" s="129" t="s">
        <v>7</v>
      </c>
      <c r="C17" s="5"/>
      <c r="D17" s="5"/>
      <c r="E17" s="5"/>
      <c r="F17" s="5"/>
    </row>
    <row r="18" spans="2:15" outlineLevel="1" x14ac:dyDescent="0.3"/>
    <row r="19" spans="2:15" outlineLevel="1" x14ac:dyDescent="0.3">
      <c r="B19" s="6" t="s">
        <v>110</v>
      </c>
    </row>
    <row r="20" spans="2:15" outlineLevel="1" x14ac:dyDescent="0.3">
      <c r="B20" s="6" t="s">
        <v>111</v>
      </c>
    </row>
    <row r="21" spans="2:15" ht="28.8" outlineLevel="1" x14ac:dyDescent="0.3">
      <c r="B21" s="7" t="s">
        <v>112</v>
      </c>
    </row>
    <row r="22" spans="2:15" ht="28.8" outlineLevel="1" x14ac:dyDescent="0.3">
      <c r="B22" s="7" t="s">
        <v>113</v>
      </c>
    </row>
    <row r="23" spans="2:15" ht="30.6" customHeight="1" outlineLevel="1" x14ac:dyDescent="0.3">
      <c r="B23" s="6" t="s">
        <v>210</v>
      </c>
    </row>
    <row r="24" spans="2:15" customFormat="1" ht="28.8" outlineLevel="1" x14ac:dyDescent="0.3">
      <c r="B24" s="7" t="s">
        <v>114</v>
      </c>
      <c r="L24" s="4"/>
      <c r="M24" s="4"/>
      <c r="N24" s="4"/>
      <c r="O24" s="4"/>
    </row>
    <row r="25" spans="2:15" customFormat="1" ht="28.8" outlineLevel="1" x14ac:dyDescent="0.3">
      <c r="B25" s="7" t="s">
        <v>164</v>
      </c>
      <c r="L25" s="4"/>
      <c r="M25" s="4"/>
      <c r="N25" s="4"/>
      <c r="O25" s="4"/>
    </row>
    <row r="26" spans="2:15" customFormat="1" ht="28.8" outlineLevel="1" x14ac:dyDescent="0.3">
      <c r="B26" s="6" t="s">
        <v>211</v>
      </c>
      <c r="L26" s="4"/>
      <c r="M26" s="4"/>
      <c r="N26" s="4"/>
      <c r="O26" s="4"/>
    </row>
    <row r="27" spans="2:15" customFormat="1" ht="61.8" customHeight="1" outlineLevel="1" x14ac:dyDescent="0.3">
      <c r="B27" s="6" t="s">
        <v>212</v>
      </c>
      <c r="L27" s="4"/>
      <c r="M27" s="4"/>
      <c r="N27" s="4"/>
      <c r="O27" s="4"/>
    </row>
    <row r="28" spans="2:15" customFormat="1" outlineLevel="1" x14ac:dyDescent="0.3">
      <c r="B28" s="6"/>
      <c r="L28" s="4"/>
      <c r="M28" s="4"/>
      <c r="N28" s="4"/>
      <c r="O28" s="4"/>
    </row>
    <row r="29" spans="2:15" customFormat="1" outlineLevel="1" x14ac:dyDescent="0.3">
      <c r="B29" s="21" t="s">
        <v>15</v>
      </c>
      <c r="L29" s="4"/>
      <c r="M29" s="4"/>
      <c r="N29" s="4"/>
      <c r="O29" s="4"/>
    </row>
    <row r="30" spans="2:15" customFormat="1" ht="62.4" customHeight="1" outlineLevel="1" x14ac:dyDescent="0.3">
      <c r="B30" s="6" t="s">
        <v>162</v>
      </c>
      <c r="L30" s="4"/>
      <c r="M30" s="4"/>
      <c r="N30" s="4"/>
      <c r="O30" s="4"/>
    </row>
    <row r="31" spans="2:15" customFormat="1" ht="28.8" outlineLevel="1" x14ac:dyDescent="0.3">
      <c r="B31" s="6" t="s">
        <v>129</v>
      </c>
      <c r="L31" s="4"/>
      <c r="M31" s="4"/>
      <c r="N31" s="4"/>
      <c r="O31" s="4"/>
    </row>
    <row r="32" spans="2:15" customFormat="1" outlineLevel="1" x14ac:dyDescent="0.3">
      <c r="B32" s="6" t="s">
        <v>130</v>
      </c>
      <c r="L32" s="4"/>
      <c r="M32" s="4"/>
      <c r="N32" s="4"/>
      <c r="O32" s="4"/>
    </row>
    <row r="33" spans="2:15" customFormat="1" ht="28.8" outlineLevel="1" x14ac:dyDescent="0.3">
      <c r="B33" s="6" t="s">
        <v>131</v>
      </c>
      <c r="L33" s="4"/>
      <c r="M33" s="4"/>
      <c r="N33" s="4"/>
      <c r="O33" s="4"/>
    </row>
    <row r="34" spans="2:15" ht="33" customHeight="1" outlineLevel="1" x14ac:dyDescent="0.3">
      <c r="B34" s="6" t="s">
        <v>127</v>
      </c>
    </row>
    <row r="35" spans="2:15" outlineLevel="1" x14ac:dyDescent="0.3"/>
    <row r="36" spans="2:15" outlineLevel="1" x14ac:dyDescent="0.3">
      <c r="B36" s="21" t="s">
        <v>163</v>
      </c>
    </row>
    <row r="37" spans="2:15" ht="45.6" customHeight="1" outlineLevel="1" x14ac:dyDescent="0.3">
      <c r="B37" s="7" t="s">
        <v>232</v>
      </c>
    </row>
    <row r="38" spans="2:15" outlineLevel="1" x14ac:dyDescent="0.3">
      <c r="B38" s="7" t="s">
        <v>160</v>
      </c>
    </row>
    <row r="39" spans="2:15" ht="28.8" outlineLevel="1" x14ac:dyDescent="0.3">
      <c r="B39" s="7" t="s">
        <v>161</v>
      </c>
    </row>
    <row r="41" spans="2:15" x14ac:dyDescent="0.3">
      <c r="B41" s="129" t="s">
        <v>4</v>
      </c>
      <c r="C41" s="5"/>
      <c r="D41" s="5"/>
      <c r="E41" s="5"/>
      <c r="F41" s="5"/>
    </row>
    <row r="42" spans="2:15" outlineLevel="1" x14ac:dyDescent="0.3">
      <c r="B42" s="20"/>
      <c r="C42" s="83"/>
      <c r="D42" s="83"/>
      <c r="E42" s="83"/>
      <c r="F42" s="83"/>
    </row>
    <row r="43" spans="2:15" outlineLevel="1" x14ac:dyDescent="0.3">
      <c r="B43" s="84" t="s">
        <v>10</v>
      </c>
      <c r="C43" s="83"/>
      <c r="D43" s="83"/>
      <c r="E43" s="83"/>
      <c r="F43" s="83"/>
    </row>
    <row r="44" spans="2:15" ht="28.8" outlineLevel="1" x14ac:dyDescent="0.3">
      <c r="B44" s="7" t="s">
        <v>115</v>
      </c>
    </row>
    <row r="45" spans="2:15" outlineLevel="1" x14ac:dyDescent="0.3">
      <c r="B45" s="6" t="s">
        <v>5</v>
      </c>
    </row>
    <row r="46" spans="2:15" outlineLevel="1" x14ac:dyDescent="0.3">
      <c r="B46" s="85" t="s">
        <v>213</v>
      </c>
    </row>
    <row r="47" spans="2:15" outlineLevel="1" x14ac:dyDescent="0.3">
      <c r="B47" s="86" t="s">
        <v>13</v>
      </c>
    </row>
    <row r="48" spans="2:15" ht="28.8" customHeight="1" outlineLevel="1" x14ac:dyDescent="0.3">
      <c r="B48" s="6" t="s">
        <v>6</v>
      </c>
    </row>
    <row r="49" spans="2:2" outlineLevel="1" x14ac:dyDescent="0.3">
      <c r="B49" s="20"/>
    </row>
    <row r="50" spans="2:2" outlineLevel="1" x14ac:dyDescent="0.3">
      <c r="B50" s="84" t="s">
        <v>11</v>
      </c>
    </row>
    <row r="51" spans="2:2" ht="28.8" customHeight="1" outlineLevel="1" x14ac:dyDescent="0.3">
      <c r="B51" s="6" t="s">
        <v>233</v>
      </c>
    </row>
    <row r="52" spans="2:2" outlineLevel="1" x14ac:dyDescent="0.3">
      <c r="B52" s="6" t="s">
        <v>117</v>
      </c>
    </row>
    <row r="53" spans="2:2" outlineLevel="1" x14ac:dyDescent="0.3">
      <c r="B53" s="6" t="s">
        <v>118</v>
      </c>
    </row>
    <row r="54" spans="2:2" outlineLevel="1" x14ac:dyDescent="0.3"/>
    <row r="55" spans="2:2" outlineLevel="1" x14ac:dyDescent="0.3">
      <c r="B55" s="6" t="s">
        <v>116</v>
      </c>
    </row>
    <row r="56" spans="2:2" ht="43.2" outlineLevel="1" x14ac:dyDescent="0.3">
      <c r="B56" s="6" t="s">
        <v>202</v>
      </c>
    </row>
    <row r="57" spans="2:2" ht="67.8" customHeight="1" outlineLevel="1" x14ac:dyDescent="0.3">
      <c r="B57" s="6" t="s">
        <v>203</v>
      </c>
    </row>
    <row r="58" spans="2:2" ht="28.8" outlineLevel="1" x14ac:dyDescent="0.3">
      <c r="B58" s="6" t="s">
        <v>119</v>
      </c>
    </row>
    <row r="59" spans="2:2" outlineLevel="1" x14ac:dyDescent="0.3">
      <c r="B59" s="20"/>
    </row>
    <row r="60" spans="2:2" outlineLevel="1" x14ac:dyDescent="0.3">
      <c r="B60" s="84" t="s">
        <v>120</v>
      </c>
    </row>
    <row r="61" spans="2:2" ht="32.4" customHeight="1" outlineLevel="1" x14ac:dyDescent="0.3">
      <c r="B61" s="6" t="s">
        <v>121</v>
      </c>
    </row>
    <row r="62" spans="2:2" ht="33" customHeight="1" outlineLevel="1" x14ac:dyDescent="0.3">
      <c r="B62" s="6" t="s">
        <v>122</v>
      </c>
    </row>
    <row r="63" spans="2:2" ht="48.6" customHeight="1" outlineLevel="1" x14ac:dyDescent="0.3">
      <c r="B63" s="6" t="s">
        <v>124</v>
      </c>
    </row>
    <row r="64" spans="2:2" ht="28.8" outlineLevel="1" x14ac:dyDescent="0.3">
      <c r="B64" s="6" t="s">
        <v>123</v>
      </c>
    </row>
    <row r="65" spans="2:2" ht="33" customHeight="1" outlineLevel="1" x14ac:dyDescent="0.3">
      <c r="B65" s="6" t="s">
        <v>125</v>
      </c>
    </row>
    <row r="66" spans="2:2" outlineLevel="1" x14ac:dyDescent="0.3">
      <c r="B66" s="6" t="s">
        <v>126</v>
      </c>
    </row>
    <row r="67" spans="2:2" ht="50.4" customHeight="1" outlineLevel="1" x14ac:dyDescent="0.3">
      <c r="B67" s="6" t="s">
        <v>128</v>
      </c>
    </row>
    <row r="68" spans="2:2" outlineLevel="1" x14ac:dyDescent="0.3"/>
    <row r="69" spans="2:2" outlineLevel="1" x14ac:dyDescent="0.3">
      <c r="B69" s="21" t="s">
        <v>132</v>
      </c>
    </row>
    <row r="70" spans="2:2" outlineLevel="1" x14ac:dyDescent="0.3">
      <c r="B70" s="6" t="s">
        <v>133</v>
      </c>
    </row>
    <row r="71" spans="2:2" outlineLevel="1" x14ac:dyDescent="0.3"/>
    <row r="72" spans="2:2" outlineLevel="1" x14ac:dyDescent="0.3">
      <c r="B72" s="7" t="s">
        <v>134</v>
      </c>
    </row>
    <row r="73" spans="2:2" outlineLevel="1" x14ac:dyDescent="0.3">
      <c r="B73" s="7" t="s">
        <v>135</v>
      </c>
    </row>
    <row r="74" spans="2:2" outlineLevel="1" x14ac:dyDescent="0.3">
      <c r="B74" s="7" t="s">
        <v>136</v>
      </c>
    </row>
    <row r="75" spans="2:2" outlineLevel="1" x14ac:dyDescent="0.3">
      <c r="B75" s="7" t="s">
        <v>137</v>
      </c>
    </row>
    <row r="76" spans="2:2" outlineLevel="1" x14ac:dyDescent="0.3">
      <c r="B76" s="7" t="s">
        <v>138</v>
      </c>
    </row>
    <row r="77" spans="2:2" ht="28.8" outlineLevel="1" x14ac:dyDescent="0.3">
      <c r="B77" s="7" t="s">
        <v>139</v>
      </c>
    </row>
    <row r="78" spans="2:2" outlineLevel="1" x14ac:dyDescent="0.3">
      <c r="B78" s="7" t="s">
        <v>140</v>
      </c>
    </row>
    <row r="79" spans="2:2" outlineLevel="1" x14ac:dyDescent="0.3">
      <c r="B79" s="7"/>
    </row>
    <row r="80" spans="2:2" x14ac:dyDescent="0.3">
      <c r="B80" s="7"/>
    </row>
  </sheetData>
  <hyperlinks>
    <hyperlink ref="B8" r:id="rId1" xr:uid="{8133C633-DDE0-496C-A1D8-7B2C31B5C70F}"/>
    <hyperlink ref="B9" r:id="rId2" xr:uid="{81A1BB15-1B30-4F2A-973F-21C1F73FFE45}"/>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9018-ACDA-4FE7-8F5C-9F1CCF5AEC60}">
  <dimension ref="B1:C29"/>
  <sheetViews>
    <sheetView showGridLines="0" workbookViewId="0"/>
  </sheetViews>
  <sheetFormatPr defaultRowHeight="14.4" x14ac:dyDescent="0.3"/>
  <cols>
    <col min="1" max="1" width="2.21875" customWidth="1"/>
    <col min="2" max="2" width="12.44140625" customWidth="1"/>
    <col min="3" max="3" width="46.33203125" customWidth="1"/>
  </cols>
  <sheetData>
    <row r="1" spans="2:3" ht="7.8" customHeight="1" x14ac:dyDescent="0.3"/>
    <row r="2" spans="2:3" s="6" customFormat="1" x14ac:dyDescent="0.3">
      <c r="B2" s="128" t="s">
        <v>2</v>
      </c>
      <c r="C2" s="128"/>
    </row>
    <row r="3" spans="2:3" s="6" customFormat="1" x14ac:dyDescent="0.3">
      <c r="B3" s="21"/>
    </row>
    <row r="4" spans="2:3" s="6" customFormat="1" x14ac:dyDescent="0.3">
      <c r="B4" s="21" t="s">
        <v>171</v>
      </c>
      <c r="C4" s="6" t="s">
        <v>172</v>
      </c>
    </row>
    <row r="5" spans="2:3" s="6" customFormat="1" x14ac:dyDescent="0.3">
      <c r="B5" s="21" t="s">
        <v>40</v>
      </c>
      <c r="C5" s="6" t="s">
        <v>168</v>
      </c>
    </row>
    <row r="6" spans="2:3" s="6" customFormat="1" x14ac:dyDescent="0.3">
      <c r="B6" s="21" t="s">
        <v>62</v>
      </c>
      <c r="C6" s="6" t="s">
        <v>165</v>
      </c>
    </row>
    <row r="7" spans="2:3" s="6" customFormat="1" x14ac:dyDescent="0.3">
      <c r="B7" s="21" t="s">
        <v>169</v>
      </c>
      <c r="C7" s="6" t="s">
        <v>170</v>
      </c>
    </row>
    <row r="8" spans="2:3" s="6" customFormat="1" x14ac:dyDescent="0.3">
      <c r="B8" s="21" t="s">
        <v>43</v>
      </c>
      <c r="C8" s="6" t="s">
        <v>166</v>
      </c>
    </row>
    <row r="9" spans="2:3" s="6" customFormat="1" x14ac:dyDescent="0.3">
      <c r="B9" s="21" t="s">
        <v>63</v>
      </c>
      <c r="C9" s="6" t="s">
        <v>167</v>
      </c>
    </row>
    <row r="10" spans="2:3" s="6" customFormat="1" x14ac:dyDescent="0.3">
      <c r="B10" s="21"/>
    </row>
    <row r="11" spans="2:3" s="6" customFormat="1" x14ac:dyDescent="0.3">
      <c r="B11" s="21"/>
    </row>
    <row r="12" spans="2:3" s="6" customFormat="1" x14ac:dyDescent="0.3">
      <c r="B12" s="21"/>
    </row>
    <row r="13" spans="2:3" s="6" customFormat="1" x14ac:dyDescent="0.3">
      <c r="B13" s="21"/>
    </row>
    <row r="14" spans="2:3" s="6" customFormat="1" x14ac:dyDescent="0.3">
      <c r="B14" s="21"/>
    </row>
    <row r="15" spans="2:3" s="6" customFormat="1" x14ac:dyDescent="0.3">
      <c r="B15" s="21"/>
    </row>
    <row r="16" spans="2:3" s="6" customFormat="1" x14ac:dyDescent="0.3">
      <c r="B16" s="21"/>
    </row>
    <row r="17" spans="2:2" s="6" customFormat="1" x14ac:dyDescent="0.3">
      <c r="B17" s="21"/>
    </row>
    <row r="18" spans="2:2" s="6" customFormat="1" x14ac:dyDescent="0.3">
      <c r="B18" s="21"/>
    </row>
    <row r="19" spans="2:2" s="6" customFormat="1" x14ac:dyDescent="0.3"/>
    <row r="20" spans="2:2" s="6" customFormat="1" x14ac:dyDescent="0.3"/>
    <row r="21" spans="2:2" s="6" customFormat="1" x14ac:dyDescent="0.3"/>
    <row r="22" spans="2:2" s="6" customFormat="1" x14ac:dyDescent="0.3"/>
    <row r="23" spans="2:2" s="6" customFormat="1" x14ac:dyDescent="0.3"/>
    <row r="24" spans="2:2" s="6" customFormat="1" x14ac:dyDescent="0.3"/>
    <row r="25" spans="2:2" s="6" customFormat="1" x14ac:dyDescent="0.3"/>
    <row r="26" spans="2:2" s="6" customFormat="1" x14ac:dyDescent="0.3"/>
    <row r="27" spans="2:2" s="6" customFormat="1" x14ac:dyDescent="0.3"/>
    <row r="28" spans="2:2" s="6" customFormat="1" x14ac:dyDescent="0.3"/>
    <row r="29" spans="2:2" s="6" customFormat="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32EF-EC6D-4AE9-A404-D277724C4416}">
  <sheetPr>
    <tabColor theme="1" tint="0.499984740745262"/>
  </sheetPr>
  <dimension ref="A1"/>
  <sheetViews>
    <sheetView showGridLines="0"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0B98-0A13-42D8-B053-E2B33BCC815A}">
  <sheetPr>
    <pageSetUpPr fitToPage="1"/>
  </sheetPr>
  <dimension ref="B1:BI40"/>
  <sheetViews>
    <sheetView showGridLines="0" tabSelected="1" zoomScale="90" zoomScaleNormal="90" workbookViewId="0"/>
  </sheetViews>
  <sheetFormatPr defaultRowHeight="14.4" x14ac:dyDescent="0.3"/>
  <cols>
    <col min="1" max="1" width="2.21875" customWidth="1"/>
    <col min="2" max="2" width="2.88671875" customWidth="1"/>
    <col min="3" max="3" width="10.21875" customWidth="1"/>
    <col min="4" max="4" width="1.5546875" customWidth="1"/>
    <col min="5" max="9" width="10.21875" customWidth="1"/>
    <col min="10" max="10" width="1.88671875" customWidth="1"/>
    <col min="15" max="15" width="2" customWidth="1"/>
    <col min="50" max="51" width="10.88671875" bestFit="1" customWidth="1"/>
  </cols>
  <sheetData>
    <row r="1" spans="2:61" ht="8.4" customHeight="1" x14ac:dyDescent="0.3"/>
    <row r="2" spans="2:61" ht="15.6" x14ac:dyDescent="0.3">
      <c r="B2" s="14" t="s">
        <v>215</v>
      </c>
      <c r="C2" s="15"/>
      <c r="D2" s="15"/>
      <c r="E2" s="15"/>
      <c r="F2" s="15"/>
      <c r="G2" s="15"/>
      <c r="H2" s="15"/>
      <c r="I2" s="15"/>
      <c r="J2" s="15"/>
      <c r="K2" s="15"/>
      <c r="L2" s="15"/>
      <c r="M2" s="15"/>
      <c r="N2" s="15"/>
      <c r="O2" s="15"/>
      <c r="P2" s="15"/>
      <c r="Q2" s="15"/>
      <c r="R2" s="15"/>
      <c r="S2" s="15"/>
      <c r="T2" s="16" t="s">
        <v>204</v>
      </c>
      <c r="U2" s="17"/>
      <c r="V2" s="17"/>
      <c r="W2" s="17"/>
      <c r="X2" s="17"/>
      <c r="AB2" s="3" t="s">
        <v>12</v>
      </c>
      <c r="AF2" s="10" t="s">
        <v>3</v>
      </c>
      <c r="AG2" s="11"/>
      <c r="AH2" s="10"/>
      <c r="AI2" s="11"/>
      <c r="AJ2" s="11"/>
      <c r="AK2" s="11"/>
      <c r="AL2" s="11"/>
      <c r="AM2" s="11"/>
      <c r="AN2" s="11"/>
      <c r="AO2" s="11"/>
      <c r="AS2" t="s">
        <v>96</v>
      </c>
      <c r="AV2" s="54" t="s">
        <v>97</v>
      </c>
      <c r="AW2" s="54"/>
      <c r="AY2" s="54" t="s">
        <v>70</v>
      </c>
      <c r="AZ2" s="54"/>
      <c r="BB2" s="54" t="s">
        <v>60</v>
      </c>
      <c r="BC2" s="54"/>
      <c r="BE2" s="54" t="s">
        <v>9</v>
      </c>
      <c r="BF2" s="54"/>
      <c r="BH2" s="54" t="s">
        <v>99</v>
      </c>
      <c r="BI2" s="54"/>
    </row>
    <row r="3" spans="2:61" x14ac:dyDescent="0.3">
      <c r="B3" s="19" t="s">
        <v>64</v>
      </c>
      <c r="AF3" s="10"/>
      <c r="AG3" s="11"/>
      <c r="AH3" s="10"/>
      <c r="AI3" s="49">
        <f>'Invoer Scenario Basis'!E19</f>
        <v>2026</v>
      </c>
      <c r="AJ3" s="49">
        <f>'Invoer Scenario Basis'!F19</f>
        <v>2027</v>
      </c>
      <c r="AK3" s="49">
        <f>'Invoer Scenario Basis'!G19</f>
        <v>2028</v>
      </c>
      <c r="AL3" s="49">
        <f>'Invoer Scenario Basis'!H19</f>
        <v>2029</v>
      </c>
      <c r="AM3" s="49">
        <f>'Invoer Scenario Basis'!I19</f>
        <v>2030</v>
      </c>
      <c r="AN3" s="49">
        <f>'Invoer Scenario Basis'!J19</f>
        <v>2031</v>
      </c>
      <c r="AO3" s="49"/>
      <c r="AV3" s="57" t="s">
        <v>98</v>
      </c>
      <c r="AW3" s="57" t="s">
        <v>62</v>
      </c>
      <c r="AY3" s="57" t="s">
        <v>98</v>
      </c>
      <c r="AZ3" s="57" t="s">
        <v>62</v>
      </c>
      <c r="BB3" s="57" t="s">
        <v>98</v>
      </c>
      <c r="BC3" s="57" t="s">
        <v>62</v>
      </c>
      <c r="BE3" s="57" t="s">
        <v>98</v>
      </c>
      <c r="BF3" s="57" t="s">
        <v>62</v>
      </c>
      <c r="BH3" s="57" t="s">
        <v>98</v>
      </c>
      <c r="BI3" s="57" t="s">
        <v>62</v>
      </c>
    </row>
    <row r="4" spans="2:61" x14ac:dyDescent="0.3">
      <c r="AF4" s="10"/>
      <c r="AG4" s="11"/>
      <c r="AH4" s="10"/>
      <c r="AI4" s="49"/>
      <c r="AJ4" s="49"/>
      <c r="AK4" s="49"/>
      <c r="AL4" s="49"/>
      <c r="AM4" s="49"/>
      <c r="AN4" s="49"/>
      <c r="AO4" s="49"/>
      <c r="AV4" s="55">
        <v>0</v>
      </c>
      <c r="AW4" s="124">
        <f ca="1">'Scenario Sensivity'!E62</f>
        <v>1320.4541806632676</v>
      </c>
      <c r="AY4" s="55">
        <v>0</v>
      </c>
      <c r="AZ4" s="124">
        <f ca="1">'Scenario Sensivity'!E62</f>
        <v>1320.4541806632676</v>
      </c>
      <c r="BB4" s="55">
        <v>0</v>
      </c>
      <c r="BC4" s="124">
        <f ca="1">'Scenario Sensivity'!E62</f>
        <v>1320.4541806632676</v>
      </c>
      <c r="BE4" s="55">
        <v>0</v>
      </c>
      <c r="BF4" s="124">
        <f ca="1">'Scenario Sensivity'!E62</f>
        <v>1320.4541806632676</v>
      </c>
      <c r="BH4" s="55">
        <v>0</v>
      </c>
      <c r="BI4" s="124">
        <f ca="1">'Scenario Sensivity'!E62</f>
        <v>1320.4541806632676</v>
      </c>
    </row>
    <row r="5" spans="2:61" ht="14.4" customHeight="1" x14ac:dyDescent="0.3">
      <c r="C5" s="65" t="s">
        <v>222</v>
      </c>
      <c r="AV5" s="55">
        <v>-0.1</v>
      </c>
      <c r="AW5" s="125">
        <f t="dataTable" ref="AW5:AW6" dt2D="0" dtr="0" r1="AV4" ca="1"/>
        <v>1398.4938349077302</v>
      </c>
      <c r="AY5" s="55">
        <v>-0.1</v>
      </c>
      <c r="AZ5" s="125">
        <f t="dataTable" ref="AZ5:AZ6" dt2D="0" dtr="0" r1="AY4" ca="1"/>
        <v>1442.0232798927043</v>
      </c>
      <c r="BB5" s="55">
        <v>-0.1</v>
      </c>
      <c r="BC5" s="125">
        <f t="dataTable" ref="BC5:BC6" dt2D="0" dtr="0" r1="BB4" ca="1"/>
        <v>1307.5127211256054</v>
      </c>
      <c r="BE5" s="55">
        <v>-0.1</v>
      </c>
      <c r="BF5" s="125">
        <f t="dataTable" ref="BF5:BF6" dt2D="0" dtr="0" r1="BE4" ca="1"/>
        <v>1076.6592065556868</v>
      </c>
      <c r="BH5" s="55">
        <v>-0.1</v>
      </c>
      <c r="BI5" s="125">
        <f t="dataTable" ref="BI5:BI6" dt2D="0" dtr="0" r1="BH4" ca="1"/>
        <v>1407.5238142731178</v>
      </c>
    </row>
    <row r="6" spans="2:61" s="42" customFormat="1" x14ac:dyDescent="0.3">
      <c r="C6" s="68" t="s">
        <v>59</v>
      </c>
      <c r="D6" s="69"/>
      <c r="E6" s="70" t="s">
        <v>65</v>
      </c>
      <c r="F6" s="70" t="s">
        <v>70</v>
      </c>
      <c r="G6" s="70" t="s">
        <v>60</v>
      </c>
      <c r="H6" s="70" t="s">
        <v>9</v>
      </c>
      <c r="I6" s="70" t="s">
        <v>61</v>
      </c>
      <c r="J6" s="71"/>
      <c r="K6" s="70" t="s">
        <v>62</v>
      </c>
      <c r="L6" s="70" t="s">
        <v>43</v>
      </c>
      <c r="M6" s="70" t="s">
        <v>63</v>
      </c>
      <c r="N6" s="70" t="s">
        <v>40</v>
      </c>
      <c r="O6" s="72"/>
      <c r="AF6" s="50" t="s">
        <v>38</v>
      </c>
      <c r="AI6" s="43"/>
      <c r="AJ6" s="43"/>
      <c r="AK6" s="43"/>
      <c r="AL6" s="43"/>
      <c r="AM6" s="43"/>
      <c r="AN6" s="43"/>
      <c r="AV6" s="56">
        <v>0.1</v>
      </c>
      <c r="AW6" s="126">
        <v>1245.6779142995995</v>
      </c>
      <c r="AY6" s="56">
        <v>0.1</v>
      </c>
      <c r="AZ6" s="126">
        <v>1198.8850814338309</v>
      </c>
      <c r="BB6" s="56">
        <v>0.1</v>
      </c>
      <c r="BC6" s="126">
        <v>1333.3956402009294</v>
      </c>
      <c r="BE6" s="56">
        <v>0.1</v>
      </c>
      <c r="BF6" s="126">
        <v>1564.2491547708482</v>
      </c>
      <c r="BH6" s="56">
        <v>0.1</v>
      </c>
      <c r="BI6" s="126">
        <v>1233.3845470534175</v>
      </c>
    </row>
    <row r="7" spans="2:61" x14ac:dyDescent="0.3">
      <c r="C7" s="61"/>
      <c r="D7" s="61"/>
      <c r="E7" s="62"/>
      <c r="F7" s="62"/>
      <c r="G7" s="62"/>
      <c r="H7" s="62"/>
      <c r="I7" s="62"/>
      <c r="J7" s="63"/>
      <c r="K7" s="62"/>
      <c r="L7" s="62"/>
      <c r="M7" s="62"/>
      <c r="O7" s="51"/>
      <c r="AF7" t="s">
        <v>58</v>
      </c>
      <c r="AH7" s="123"/>
      <c r="AI7" s="123">
        <f>'Calc Scenario Hoog'!E60</f>
        <v>-1602.5</v>
      </c>
      <c r="AJ7" s="123">
        <f ca="1">'Calc Scenario Hoog'!F60</f>
        <v>-876.62280701754389</v>
      </c>
      <c r="AK7" s="123">
        <f ca="1">'Calc Scenario Hoog'!G60</f>
        <v>-220.65173899661454</v>
      </c>
      <c r="AL7" s="123">
        <f ca="1">'Calc Scenario Hoog'!H60</f>
        <v>344.63690582257391</v>
      </c>
      <c r="AM7" s="123">
        <f ca="1">'Calc Scenario Hoog'!I60</f>
        <v>840.50413812010754</v>
      </c>
      <c r="AN7" s="123">
        <f ca="1">'Calc Scenario Hoog'!J60</f>
        <v>1452.0607404037901</v>
      </c>
      <c r="AO7" s="1"/>
    </row>
    <row r="8" spans="2:61" x14ac:dyDescent="0.3">
      <c r="C8" s="52" t="s">
        <v>58</v>
      </c>
      <c r="D8" s="52"/>
      <c r="E8" s="77">
        <v>0.14000000000000001</v>
      </c>
      <c r="F8" s="127">
        <v>-1600</v>
      </c>
      <c r="G8" s="127">
        <v>300</v>
      </c>
      <c r="H8" s="127">
        <v>7500</v>
      </c>
      <c r="I8" s="77">
        <v>-0.25</v>
      </c>
      <c r="J8" s="51"/>
      <c r="K8" s="123">
        <f ca="1">'Calc Scenario Hoog'!E62</f>
        <v>1452.0607404037901</v>
      </c>
      <c r="L8" s="67">
        <f ca="1">'Calc Scenario Hoog'!E63</f>
        <v>1.9090909090909092</v>
      </c>
      <c r="M8" s="67">
        <f ca="1">'Calc Scenario Hoog'!E64</f>
        <v>2.3903346388059705</v>
      </c>
      <c r="N8" s="13">
        <f ca="1">'Calc Scenario Hoog'!E65</f>
        <v>0.45813806852369221</v>
      </c>
      <c r="O8" s="51"/>
      <c r="AF8" t="s">
        <v>56</v>
      </c>
      <c r="AH8" s="123"/>
      <c r="AI8" s="123">
        <f>'Invoer Scenario Basis'!E60</f>
        <v>-1502.5</v>
      </c>
      <c r="AJ8" s="123">
        <f ca="1">'Invoer Scenario Basis'!F60</f>
        <v>-886.02272727272725</v>
      </c>
      <c r="AK8" s="123">
        <f ca="1">'Invoer Scenario Basis'!G60</f>
        <v>-304.92768595041332</v>
      </c>
      <c r="AL8" s="123">
        <f ca="1">'Invoer Scenario Basis'!H60</f>
        <v>212.07081141998469</v>
      </c>
      <c r="AM8" s="123">
        <f ca="1">'Invoer Scenario Basis'!I60</f>
        <v>682.06944539307392</v>
      </c>
      <c r="AN8" s="123">
        <f ca="1">'Invoer Scenario Basis'!J60</f>
        <v>1320.4541806632676</v>
      </c>
      <c r="AO8" s="1"/>
      <c r="AV8" s="10" t="s">
        <v>107</v>
      </c>
      <c r="AW8" s="10"/>
      <c r="AX8" s="60" t="s">
        <v>101</v>
      </c>
      <c r="AY8" s="60" t="s">
        <v>102</v>
      </c>
      <c r="AZ8" s="10" t="s">
        <v>103</v>
      </c>
      <c r="BA8" s="10" t="s">
        <v>104</v>
      </c>
      <c r="BB8" s="10" t="s">
        <v>105</v>
      </c>
      <c r="BC8" s="10" t="s">
        <v>106</v>
      </c>
      <c r="BD8" s="10" t="s">
        <v>107</v>
      </c>
      <c r="BE8" s="10"/>
      <c r="BF8" s="60" t="s">
        <v>108</v>
      </c>
      <c r="BG8" s="60" t="s">
        <v>109</v>
      </c>
    </row>
    <row r="9" spans="2:61" x14ac:dyDescent="0.3">
      <c r="C9" s="52" t="s">
        <v>56</v>
      </c>
      <c r="D9" s="52"/>
      <c r="E9" s="48">
        <f>'Invoer Scenario Basis'!E8</f>
        <v>0.1</v>
      </c>
      <c r="F9" s="123">
        <f>'Invoer Scenario Basis'!E51</f>
        <v>-1500</v>
      </c>
      <c r="G9" s="123">
        <f>'Invoer Scenario Basis'!J52</f>
        <v>300</v>
      </c>
      <c r="H9" s="123">
        <f>SUM('Invoer Scenario Basis'!F21:J21)</f>
        <v>6125</v>
      </c>
      <c r="I9" s="48">
        <f>'Invoer Scenario Basis'!C23</f>
        <v>-0.25</v>
      </c>
      <c r="J9" s="51"/>
      <c r="K9" s="123">
        <f ca="1">'Invoer Scenario Basis'!E62</f>
        <v>1320.4541806632676</v>
      </c>
      <c r="L9" s="67">
        <f ca="1">'Invoer Scenario Basis'!E63</f>
        <v>2.1762034514078112</v>
      </c>
      <c r="M9" s="67">
        <f ca="1">'Invoer Scenario Basis'!E64</f>
        <v>2.5898038147138971</v>
      </c>
      <c r="N9" s="13">
        <f ca="1">'Invoer Scenario Basis'!E65</f>
        <v>0.38552966937985467</v>
      </c>
      <c r="O9" s="51"/>
      <c r="AF9" t="s">
        <v>57</v>
      </c>
      <c r="AH9" s="123"/>
      <c r="AI9" s="123">
        <f>'Calc Scenario Laag'!E60</f>
        <v>-1502.5</v>
      </c>
      <c r="AJ9" s="123">
        <f ca="1">'Calc Scenario Laag'!F60</f>
        <v>-1023.8675213675212</v>
      </c>
      <c r="AK9" s="123">
        <f ca="1">'Calc Scenario Laag'!G60</f>
        <v>-596.51709401709388</v>
      </c>
      <c r="AL9" s="123">
        <f ca="1">'Calc Scenario Laag'!H60</f>
        <v>-240.6258768504</v>
      </c>
      <c r="AM9" s="123">
        <f ca="1">'Calc Scenario Laag'!I60</f>
        <v>63.554650642500803</v>
      </c>
      <c r="AN9" s="123">
        <f ca="1">'Calc Scenario Laag'!J60</f>
        <v>478.61579926829137</v>
      </c>
      <c r="AO9" s="1"/>
      <c r="AV9" t="s">
        <v>97</v>
      </c>
      <c r="AX9" s="13">
        <f ca="1">AW5/$AW$4-100%</f>
        <v>5.9100615066600026E-2</v>
      </c>
      <c r="AY9" s="13">
        <f ca="1">AW6/AW4-1</f>
        <v>-5.6629201875151636E-2</v>
      </c>
      <c r="AZ9" s="13">
        <f ca="1">ABS(AX9)</f>
        <v>5.9100615066600026E-2</v>
      </c>
      <c r="BA9" s="13">
        <f t="shared" ref="BA9:BA13" ca="1" si="0">ABS(AY9)</f>
        <v>5.6629201875151636E-2</v>
      </c>
      <c r="BB9">
        <v>1</v>
      </c>
      <c r="BC9" s="13">
        <f ca="1">SMALL($BA$9:$BA$13,BB9)</f>
        <v>9.8007638032251432E-3</v>
      </c>
      <c r="BD9" s="13" t="str">
        <f ca="1">INDEX($AV$9:$AV$13,MATCH(BC9,$BA$9:$BA$13,0))</f>
        <v>Restwaarde</v>
      </c>
      <c r="BF9" s="13">
        <f ca="1">INDEX($AY$9:$AY$13,MATCH(BD9,$AV$9:$AV$13,0))</f>
        <v>9.8007638032251432E-3</v>
      </c>
      <c r="BG9" s="13">
        <f ca="1">INDEX($AX$9:$AX$13,MATCH(BD9,$AV$9:$AV$13,0))</f>
        <v>-9.8007638032254762E-3</v>
      </c>
    </row>
    <row r="10" spans="2:61" x14ac:dyDescent="0.3">
      <c r="C10" s="52" t="s">
        <v>57</v>
      </c>
      <c r="D10" s="52"/>
      <c r="E10" s="77">
        <v>0.17</v>
      </c>
      <c r="F10" s="127">
        <v>-1500</v>
      </c>
      <c r="G10" s="127">
        <v>300</v>
      </c>
      <c r="H10" s="127">
        <v>5000</v>
      </c>
      <c r="I10" s="77">
        <v>-0.25</v>
      </c>
      <c r="J10" s="51"/>
      <c r="K10" s="123">
        <f ca="1">'Calc Scenario Laag'!E62</f>
        <v>478.61579926829137</v>
      </c>
      <c r="L10" s="67">
        <f ca="1">'Calc Scenario Laag'!E63</f>
        <v>2.6271929824561404</v>
      </c>
      <c r="M10" s="67">
        <f ca="1">'Calc Scenario Laag'!E64</f>
        <v>3.7910627246052622</v>
      </c>
      <c r="N10" s="13">
        <f ca="1">'Calc Scenario Laag'!E65</f>
        <v>0.29297425004839051</v>
      </c>
      <c r="O10" s="51"/>
      <c r="AF10" t="s">
        <v>88</v>
      </c>
      <c r="AH10" s="123"/>
      <c r="AI10" s="123">
        <f>'Invoer Scenario Flex'!E60</f>
        <v>-1677.5</v>
      </c>
      <c r="AJ10" s="123">
        <f ca="1">'Invoer Scenario Flex'!F60</f>
        <v>-1090</v>
      </c>
      <c r="AK10" s="123">
        <f ca="1">'Invoer Scenario Flex'!G60</f>
        <v>-560.22684310018894</v>
      </c>
      <c r="AL10" s="123">
        <f ca="1">'Invoer Scenario Flex'!H60</f>
        <v>-109.41727623900698</v>
      </c>
      <c r="AM10" s="123">
        <f ca="1">'Invoer Scenario Flex'!I60</f>
        <v>282.59104277071657</v>
      </c>
      <c r="AN10" s="123">
        <f ca="1">'Invoer Scenario Flex'!J60</f>
        <v>867.08444220576871</v>
      </c>
      <c r="AO10" s="1"/>
      <c r="AV10" t="s">
        <v>70</v>
      </c>
      <c r="AX10" s="13">
        <f ca="1">AZ5/AZ4-1</f>
        <v>9.2066124678686023E-2</v>
      </c>
      <c r="AY10" s="13">
        <f ca="1">AZ6/AZ4-1</f>
        <v>-9.2066124678686134E-2</v>
      </c>
      <c r="AZ10" s="13">
        <f t="shared" ref="AZ10:AZ13" ca="1" si="1">ABS(AX10)</f>
        <v>9.2066124678686023E-2</v>
      </c>
      <c r="BA10" s="13">
        <f t="shared" ca="1" si="0"/>
        <v>9.2066124678686134E-2</v>
      </c>
      <c r="BB10">
        <v>2</v>
      </c>
      <c r="BC10" s="13">
        <f t="shared" ref="BC10:BC13" ca="1" si="2">SMALL($BA$9:$BA$13,BB10)</f>
        <v>5.6629201875151636E-2</v>
      </c>
      <c r="BD10" s="13" t="str">
        <f t="shared" ref="BD10:BD13" ca="1" si="3">INDEX($AV$9:$AV$13,MATCH(BC10,$BA$9:$BA$13,0))</f>
        <v>Disc voet</v>
      </c>
      <c r="BF10" s="13">
        <f t="shared" ref="BF10:BF13" ca="1" si="4">INDEX($AY$9:$AY$13,MATCH(BD10,$AV$9:$AV$13,0))</f>
        <v>-5.6629201875151636E-2</v>
      </c>
      <c r="BG10" s="13">
        <f t="shared" ref="BG10:BG13" ca="1" si="5">INDEX($AX$9:$AX$13,MATCH(BD10,$AV$9:$AV$13,0))</f>
        <v>5.9100615066600026E-2</v>
      </c>
    </row>
    <row r="11" spans="2:61" x14ac:dyDescent="0.3">
      <c r="C11" s="52" t="s">
        <v>88</v>
      </c>
      <c r="D11" s="52"/>
      <c r="E11" s="13">
        <f>'Invoer Scenario Flex'!E8</f>
        <v>0.15</v>
      </c>
      <c r="F11" s="123">
        <f>'Invoer Scenario Flex'!E51</f>
        <v>-1600</v>
      </c>
      <c r="G11" s="123">
        <f>'Invoer Scenario Flex'!J52</f>
        <v>450</v>
      </c>
      <c r="H11" s="123">
        <f>SUM('Invoer Scenario Flex'!F21:J21)</f>
        <v>6125</v>
      </c>
      <c r="I11" s="13">
        <f>'Invoer Scenario Flex'!C23</f>
        <v>-0.25</v>
      </c>
      <c r="J11" s="51"/>
      <c r="K11" s="123">
        <f ca="1">'Invoer Scenario Flex'!E62</f>
        <v>867.08444220576871</v>
      </c>
      <c r="L11" s="67">
        <f ca="1">'Invoer Scenario Flex'!E63</f>
        <v>2.439380127620784</v>
      </c>
      <c r="M11" s="67">
        <f ca="1">'Invoer Scenario Flex'!E64</f>
        <v>3.2791197812215125</v>
      </c>
      <c r="N11" s="13">
        <f ca="1">'Invoer Scenario Flex'!E65</f>
        <v>0.33590093687022438</v>
      </c>
      <c r="O11" s="51"/>
      <c r="AH11" s="123"/>
      <c r="AI11" s="123"/>
      <c r="AJ11" s="123"/>
      <c r="AK11" s="123"/>
      <c r="AL11" s="123"/>
      <c r="AM11" s="123"/>
      <c r="AN11" s="123"/>
      <c r="AV11" t="s">
        <v>60</v>
      </c>
      <c r="AX11" s="13">
        <f ca="1">BC5/BC4-1</f>
        <v>-9.8007638032254762E-3</v>
      </c>
      <c r="AY11" s="13">
        <f ca="1">BC6/BC4-1</f>
        <v>9.8007638032251432E-3</v>
      </c>
      <c r="AZ11" s="13">
        <f t="shared" ca="1" si="1"/>
        <v>9.8007638032254762E-3</v>
      </c>
      <c r="BA11" s="13">
        <f t="shared" ca="1" si="0"/>
        <v>9.8007638032251432E-3</v>
      </c>
      <c r="BB11">
        <v>3</v>
      </c>
      <c r="BC11" s="13">
        <f t="shared" ca="1" si="2"/>
        <v>6.593915554579477E-2</v>
      </c>
      <c r="BD11" s="13" t="str">
        <f t="shared" ca="1" si="3"/>
        <v>Kostprijs</v>
      </c>
      <c r="BF11" s="13">
        <f t="shared" ca="1" si="4"/>
        <v>-6.593915554579477E-2</v>
      </c>
      <c r="BG11" s="13">
        <f t="shared" ca="1" si="5"/>
        <v>6.5939155545794659E-2</v>
      </c>
    </row>
    <row r="12" spans="2:61" x14ac:dyDescent="0.3">
      <c r="C12" s="64"/>
      <c r="D12" s="64"/>
      <c r="E12" s="22"/>
      <c r="F12" s="22"/>
      <c r="G12" s="22"/>
      <c r="H12" s="22"/>
      <c r="I12" s="22"/>
      <c r="J12" s="53"/>
      <c r="K12" s="22"/>
      <c r="L12" s="22"/>
      <c r="M12" s="22"/>
      <c r="N12" s="22"/>
      <c r="O12" s="53"/>
      <c r="AF12" s="3" t="s">
        <v>66</v>
      </c>
      <c r="AH12" s="123" t="s">
        <v>62</v>
      </c>
      <c r="AI12" s="123"/>
      <c r="AJ12" s="123"/>
      <c r="AK12" s="123"/>
      <c r="AL12" s="123"/>
      <c r="AM12" s="123"/>
      <c r="AN12" s="123"/>
      <c r="AV12" t="s">
        <v>9</v>
      </c>
      <c r="AX12" s="13">
        <f ca="1">BF5/BF4-1</f>
        <v>-0.18462963552822564</v>
      </c>
      <c r="AY12" s="13">
        <f ca="1">BF6/BF4-1</f>
        <v>0.18462963552822553</v>
      </c>
      <c r="AZ12" s="13">
        <f t="shared" ca="1" si="1"/>
        <v>0.18462963552822564</v>
      </c>
      <c r="BA12" s="13">
        <f t="shared" ca="1" si="0"/>
        <v>0.18462963552822553</v>
      </c>
      <c r="BB12">
        <v>4</v>
      </c>
      <c r="BC12" s="13">
        <f t="shared" ca="1" si="2"/>
        <v>9.2066124678686134E-2</v>
      </c>
      <c r="BD12" s="13" t="str">
        <f t="shared" ca="1" si="3"/>
        <v>Investering</v>
      </c>
      <c r="BF12" s="13">
        <f t="shared" ca="1" si="4"/>
        <v>-9.2066124678686134E-2</v>
      </c>
      <c r="BG12" s="13">
        <f t="shared" ca="1" si="5"/>
        <v>9.2066124678686023E-2</v>
      </c>
    </row>
    <row r="13" spans="2:61" x14ac:dyDescent="0.3">
      <c r="AF13" t="s">
        <v>58</v>
      </c>
      <c r="AH13" s="123">
        <f ca="1">Dashboard!K8-0.001</f>
        <v>1452.0597404037901</v>
      </c>
      <c r="AI13" s="123"/>
      <c r="AJ13" s="123"/>
      <c r="AK13" s="123"/>
      <c r="AL13" s="123"/>
      <c r="AM13" s="123"/>
      <c r="AN13" s="123"/>
      <c r="AV13" t="s">
        <v>99</v>
      </c>
      <c r="AX13" s="13">
        <f ca="1">BI5/BI4-1</f>
        <v>6.5939155545794659E-2</v>
      </c>
      <c r="AY13" s="13">
        <f ca="1">BI6/BI4-1</f>
        <v>-6.593915554579477E-2</v>
      </c>
      <c r="AZ13" s="13">
        <f t="shared" ca="1" si="1"/>
        <v>6.5939155545794659E-2</v>
      </c>
      <c r="BA13" s="13">
        <f t="shared" ca="1" si="0"/>
        <v>6.593915554579477E-2</v>
      </c>
      <c r="BB13">
        <v>5</v>
      </c>
      <c r="BC13" s="13">
        <f t="shared" ca="1" si="2"/>
        <v>0.18462963552822553</v>
      </c>
      <c r="BD13" s="13" t="str">
        <f t="shared" ca="1" si="3"/>
        <v>Opbrengsten</v>
      </c>
      <c r="BF13" s="13">
        <f t="shared" ca="1" si="4"/>
        <v>0.18462963552822553</v>
      </c>
      <c r="BG13" s="13">
        <f t="shared" ca="1" si="5"/>
        <v>-0.18462963552822564</v>
      </c>
    </row>
    <row r="14" spans="2:61" x14ac:dyDescent="0.3">
      <c r="AF14" t="s">
        <v>56</v>
      </c>
      <c r="AH14" s="123">
        <f ca="1">Dashboard!K9</f>
        <v>1320.4541806632676</v>
      </c>
      <c r="AI14" s="123"/>
      <c r="AJ14" s="123"/>
      <c r="AK14" s="123"/>
      <c r="AL14" s="123"/>
      <c r="AM14" s="123"/>
      <c r="AN14" s="123"/>
    </row>
    <row r="15" spans="2:61" x14ac:dyDescent="0.3">
      <c r="AF15" t="s">
        <v>57</v>
      </c>
      <c r="AH15" s="123">
        <f ca="1">Dashboard!K10+0.002</f>
        <v>478.61779926829138</v>
      </c>
      <c r="AI15" s="123"/>
      <c r="AJ15" s="123"/>
      <c r="AK15" s="123"/>
      <c r="AL15" s="123"/>
      <c r="AM15" s="123"/>
      <c r="AN15" s="123"/>
    </row>
    <row r="16" spans="2:61" x14ac:dyDescent="0.3">
      <c r="AF16" t="s">
        <v>88</v>
      </c>
      <c r="AH16" s="123">
        <f ca="1">Dashboard!K11+0.001</f>
        <v>867.08544220576869</v>
      </c>
      <c r="AI16" s="123"/>
      <c r="AJ16" s="123"/>
      <c r="AK16" s="123"/>
      <c r="AL16" s="123"/>
      <c r="AM16" s="123"/>
      <c r="AN16" s="123"/>
    </row>
    <row r="17" spans="32:40" x14ac:dyDescent="0.3">
      <c r="AH17" s="123"/>
      <c r="AI17" s="123"/>
      <c r="AJ17" s="123"/>
      <c r="AK17" s="123"/>
      <c r="AL17" s="123"/>
      <c r="AM17" s="123"/>
      <c r="AN17" s="123"/>
    </row>
    <row r="18" spans="32:40" x14ac:dyDescent="0.3">
      <c r="AF18" t="str">
        <f ca="1">INDEX($AF$13:$AH$16,MATCH(AH18,$AH$13:$AH$16,0),1)</f>
        <v>Laag</v>
      </c>
      <c r="AG18">
        <v>1</v>
      </c>
      <c r="AH18" s="123">
        <f ca="1">SMALL($AH$13:$AH$16,AG18)</f>
        <v>478.61779926829138</v>
      </c>
      <c r="AI18" s="123"/>
      <c r="AJ18" s="123"/>
      <c r="AK18" s="123"/>
      <c r="AL18" s="123"/>
      <c r="AM18" s="123"/>
      <c r="AN18" s="123"/>
    </row>
    <row r="19" spans="32:40" x14ac:dyDescent="0.3">
      <c r="AF19" t="str">
        <f t="shared" ref="AF19:AF21" ca="1" si="6">INDEX($AF$13:$AH$16,MATCH(AH19,$AH$13:$AH$16,0),1)</f>
        <v>Flex</v>
      </c>
      <c r="AG19">
        <v>2</v>
      </c>
      <c r="AH19" s="123">
        <f t="shared" ref="AH19:AH21" ca="1" si="7">SMALL($AH$13:$AH$16,AG19)</f>
        <v>867.08544220576869</v>
      </c>
      <c r="AI19" s="123"/>
      <c r="AJ19" s="123"/>
      <c r="AK19" s="123"/>
      <c r="AL19" s="123"/>
      <c r="AM19" s="123"/>
      <c r="AN19" s="123"/>
    </row>
    <row r="20" spans="32:40" x14ac:dyDescent="0.3">
      <c r="AF20" t="str">
        <f t="shared" ca="1" si="6"/>
        <v>Basis</v>
      </c>
      <c r="AG20">
        <v>3</v>
      </c>
      <c r="AH20" s="123">
        <f t="shared" ca="1" si="7"/>
        <v>1320.4541806632676</v>
      </c>
      <c r="AI20" s="123"/>
      <c r="AJ20" s="123"/>
      <c r="AK20" s="123"/>
      <c r="AL20" s="123"/>
      <c r="AM20" s="123"/>
      <c r="AN20" s="123"/>
    </row>
    <row r="21" spans="32:40" x14ac:dyDescent="0.3">
      <c r="AF21" t="str">
        <f t="shared" ca="1" si="6"/>
        <v>Hoog</v>
      </c>
      <c r="AG21">
        <v>4</v>
      </c>
      <c r="AH21" s="123">
        <f t="shared" ca="1" si="7"/>
        <v>1452.0597404037901</v>
      </c>
      <c r="AI21" s="123"/>
      <c r="AJ21" s="123"/>
      <c r="AK21" s="123"/>
      <c r="AL21" s="123"/>
      <c r="AM21" s="123"/>
      <c r="AN21" s="123"/>
    </row>
    <row r="23" spans="32:40" x14ac:dyDescent="0.3">
      <c r="AJ23" s="1"/>
      <c r="AK23" s="1"/>
      <c r="AL23" s="1"/>
      <c r="AM23" s="1"/>
      <c r="AN23" s="1"/>
    </row>
    <row r="24" spans="32:40" x14ac:dyDescent="0.3">
      <c r="AI24" s="1"/>
      <c r="AJ24" s="1"/>
      <c r="AK24" s="1"/>
      <c r="AL24" s="1"/>
      <c r="AM24" s="1"/>
      <c r="AN24" s="1"/>
    </row>
    <row r="25" spans="32:40" x14ac:dyDescent="0.3">
      <c r="AI25" s="18"/>
      <c r="AJ25" s="18"/>
      <c r="AK25" s="18"/>
      <c r="AL25" s="18"/>
      <c r="AM25" s="18"/>
      <c r="AN25" s="18"/>
    </row>
    <row r="26" spans="32:40" x14ac:dyDescent="0.3">
      <c r="AI26" s="18"/>
      <c r="AJ26" s="18"/>
      <c r="AK26" s="18"/>
      <c r="AL26" s="18"/>
      <c r="AM26" s="18"/>
      <c r="AN26" s="18"/>
    </row>
    <row r="27" spans="32:40" x14ac:dyDescent="0.3">
      <c r="AJ27" s="18"/>
      <c r="AK27" s="18"/>
      <c r="AL27" s="18"/>
      <c r="AM27" s="18"/>
      <c r="AN27" s="18"/>
    </row>
    <row r="39" spans="25:25" x14ac:dyDescent="0.3">
      <c r="Y39" s="34"/>
    </row>
    <row r="40" spans="25:25" x14ac:dyDescent="0.3">
      <c r="Y40" s="34"/>
    </row>
  </sheetData>
  <pageMargins left="0.7" right="0.7" top="0.75" bottom="0.75" header="0.3" footer="0.3"/>
  <pageSetup paperSize="9" scale="87"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1741-1150-447B-9A6B-04A113DE3261}">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9A12-7009-4A3F-855F-9AED8A3A1169}">
  <dimension ref="B1:O194"/>
  <sheetViews>
    <sheetView showGridLines="0" zoomScale="90" zoomScaleNormal="90" workbookViewId="0">
      <pane ySplit="4" topLeftCell="A5" activePane="bottomLeft" state="frozen"/>
      <selection activeCell="A30" sqref="A30"/>
      <selection pane="bottomLeft" activeCell="A5" sqref="A5"/>
    </sheetView>
  </sheetViews>
  <sheetFormatPr defaultRowHeight="14.4" outlineLevelRow="1" x14ac:dyDescent="0.3"/>
  <cols>
    <col min="1" max="1" width="2.21875" customWidth="1"/>
    <col min="2" max="2" width="33.6640625" customWidth="1"/>
    <col min="3" max="3" width="7.33203125" customWidth="1"/>
    <col min="4" max="4" width="1.5546875" customWidth="1"/>
    <col min="5" max="5" width="10.33203125" bestFit="1" customWidth="1"/>
  </cols>
  <sheetData>
    <row r="1" spans="2:15" ht="8.4" customHeight="1" x14ac:dyDescent="0.3"/>
    <row r="2" spans="2:15" ht="15.6" x14ac:dyDescent="0.3">
      <c r="B2" s="14" t="s">
        <v>71</v>
      </c>
      <c r="C2" s="89"/>
      <c r="D2" s="89"/>
      <c r="E2" s="90"/>
      <c r="F2" s="22"/>
      <c r="G2" s="22"/>
      <c r="H2" s="22"/>
      <c r="I2" s="22"/>
      <c r="J2" s="16" t="s">
        <v>204</v>
      </c>
    </row>
    <row r="3" spans="2:15" x14ac:dyDescent="0.3">
      <c r="B3" s="23"/>
      <c r="C3" s="23"/>
      <c r="D3" s="23"/>
      <c r="E3" s="24"/>
      <c r="F3" s="24"/>
    </row>
    <row r="4" spans="2:15" x14ac:dyDescent="0.3">
      <c r="B4" s="25" t="s">
        <v>1</v>
      </c>
      <c r="C4" s="25"/>
      <c r="D4" s="25"/>
      <c r="E4" s="22"/>
      <c r="F4" s="22"/>
    </row>
    <row r="5" spans="2:15" s="2" customFormat="1" x14ac:dyDescent="0.3">
      <c r="B5" s="87" t="s">
        <v>14</v>
      </c>
      <c r="C5" s="88"/>
      <c r="D5" s="87"/>
      <c r="E5" s="88"/>
      <c r="F5" s="88"/>
      <c r="G5" s="88"/>
      <c r="H5" s="88"/>
      <c r="I5" s="88"/>
      <c r="J5" s="88"/>
      <c r="K5" s="30"/>
      <c r="L5" s="30"/>
      <c r="M5" s="9"/>
      <c r="N5" s="9"/>
      <c r="O5" s="12"/>
    </row>
    <row r="6" spans="2:15" outlineLevel="1" x14ac:dyDescent="0.3">
      <c r="B6" s="26"/>
      <c r="C6" s="26"/>
      <c r="D6" s="26"/>
      <c r="E6" s="31"/>
      <c r="F6" s="31"/>
      <c r="G6" s="26"/>
      <c r="H6" s="26"/>
      <c r="I6" s="26"/>
      <c r="J6" s="26"/>
      <c r="K6" s="26"/>
      <c r="L6" s="26"/>
    </row>
    <row r="7" spans="2:15" outlineLevel="1" x14ac:dyDescent="0.3">
      <c r="B7" s="26" t="s">
        <v>51</v>
      </c>
      <c r="C7" s="26"/>
      <c r="D7" s="26"/>
      <c r="E7" s="78">
        <v>2026</v>
      </c>
      <c r="F7" s="27"/>
      <c r="G7" s="26"/>
      <c r="H7" s="26"/>
      <c r="I7" s="26"/>
      <c r="J7" s="26"/>
      <c r="K7" s="26"/>
      <c r="L7" s="26" t="s">
        <v>52</v>
      </c>
    </row>
    <row r="8" spans="2:15" outlineLevel="1" x14ac:dyDescent="0.3">
      <c r="B8" s="26" t="s">
        <v>15</v>
      </c>
      <c r="C8" s="26"/>
      <c r="D8" s="26"/>
      <c r="E8" s="79">
        <v>0.1</v>
      </c>
      <c r="F8" s="27"/>
      <c r="G8" s="26"/>
      <c r="H8" s="26"/>
      <c r="I8" s="66" t="s">
        <v>148</v>
      </c>
      <c r="J8" s="26"/>
      <c r="K8" s="26"/>
      <c r="L8" s="26"/>
    </row>
    <row r="9" spans="2:15" outlineLevel="1" x14ac:dyDescent="0.3">
      <c r="B9" s="26" t="s">
        <v>74</v>
      </c>
      <c r="C9" s="26"/>
      <c r="D9" s="26"/>
      <c r="E9" s="44">
        <f>J11-E11</f>
        <v>5</v>
      </c>
      <c r="F9" s="27"/>
      <c r="G9" s="26"/>
      <c r="H9" s="26"/>
      <c r="I9" s="26"/>
      <c r="J9" s="26"/>
      <c r="K9" s="26"/>
      <c r="L9" s="26" t="s">
        <v>216</v>
      </c>
    </row>
    <row r="10" spans="2:15" x14ac:dyDescent="0.3">
      <c r="B10" s="26"/>
      <c r="C10" s="26"/>
      <c r="D10" s="26"/>
      <c r="E10" s="27"/>
      <c r="F10" s="27"/>
      <c r="G10" s="26"/>
      <c r="H10" s="26"/>
      <c r="I10" s="26"/>
      <c r="J10" s="26"/>
      <c r="K10" s="26"/>
      <c r="L10" s="26"/>
    </row>
    <row r="11" spans="2:15" s="2" customFormat="1" x14ac:dyDescent="0.3">
      <c r="B11" s="87" t="s">
        <v>219</v>
      </c>
      <c r="C11" s="88"/>
      <c r="D11" s="87"/>
      <c r="E11" s="88">
        <f>E19</f>
        <v>2026</v>
      </c>
      <c r="F11" s="88">
        <f t="shared" ref="F11:J11" si="0">F19</f>
        <v>2027</v>
      </c>
      <c r="G11" s="88">
        <f t="shared" si="0"/>
        <v>2028</v>
      </c>
      <c r="H11" s="88">
        <f t="shared" si="0"/>
        <v>2029</v>
      </c>
      <c r="I11" s="88">
        <f t="shared" si="0"/>
        <v>2030</v>
      </c>
      <c r="J11" s="88">
        <f t="shared" si="0"/>
        <v>2031</v>
      </c>
      <c r="K11" s="30"/>
      <c r="L11" s="36" t="s">
        <v>217</v>
      </c>
      <c r="M11" s="9"/>
      <c r="N11" s="9"/>
      <c r="O11" s="12"/>
    </row>
    <row r="12" spans="2:15" s="17" customFormat="1" outlineLevel="1" x14ac:dyDescent="0.3">
      <c r="B12" s="33"/>
      <c r="C12" s="73"/>
      <c r="D12" s="33"/>
      <c r="E12" s="74"/>
      <c r="F12" s="74"/>
      <c r="G12" s="74"/>
      <c r="H12" s="74"/>
      <c r="I12" s="74"/>
      <c r="J12" s="74"/>
      <c r="K12" s="73"/>
      <c r="L12" s="73"/>
      <c r="M12" s="75"/>
      <c r="N12" s="75"/>
      <c r="O12" s="75"/>
    </row>
    <row r="13" spans="2:15" s="17" customFormat="1" outlineLevel="1" x14ac:dyDescent="0.3">
      <c r="B13" s="33" t="s">
        <v>201</v>
      </c>
      <c r="C13" s="73"/>
      <c r="D13" s="33"/>
      <c r="E13" s="92"/>
      <c r="F13" s="91">
        <v>-60</v>
      </c>
      <c r="G13" s="91">
        <v>-60</v>
      </c>
      <c r="H13" s="91">
        <v>-60</v>
      </c>
      <c r="I13" s="91">
        <v>-60</v>
      </c>
      <c r="J13" s="91">
        <v>-60</v>
      </c>
      <c r="K13" s="73"/>
      <c r="L13" s="26" t="s">
        <v>179</v>
      </c>
      <c r="M13" s="75"/>
      <c r="N13" s="75"/>
      <c r="O13" s="75"/>
    </row>
    <row r="14" spans="2:15" s="17" customFormat="1" outlineLevel="1" x14ac:dyDescent="0.3">
      <c r="B14" s="33" t="s">
        <v>178</v>
      </c>
      <c r="C14" s="73"/>
      <c r="D14" s="33"/>
      <c r="E14" s="92"/>
      <c r="F14" s="92"/>
      <c r="G14" s="92"/>
      <c r="H14" s="92"/>
      <c r="I14" s="92"/>
      <c r="J14" s="93">
        <v>50</v>
      </c>
      <c r="K14" s="73"/>
      <c r="L14" s="26" t="s">
        <v>218</v>
      </c>
      <c r="M14" s="75"/>
      <c r="N14" s="75"/>
      <c r="O14" s="75"/>
    </row>
    <row r="15" spans="2:15" s="17" customFormat="1" outlineLevel="1" x14ac:dyDescent="0.3">
      <c r="B15" s="33" t="s">
        <v>180</v>
      </c>
      <c r="C15" s="73"/>
      <c r="D15" s="33"/>
      <c r="E15" s="92"/>
      <c r="F15" s="92"/>
      <c r="G15" s="92"/>
      <c r="H15" s="92"/>
      <c r="I15" s="92"/>
      <c r="J15" s="93">
        <v>10</v>
      </c>
      <c r="K15" s="73"/>
      <c r="L15" s="26" t="s">
        <v>181</v>
      </c>
      <c r="M15" s="75"/>
      <c r="N15" s="75"/>
      <c r="O15" s="75"/>
    </row>
    <row r="16" spans="2:15" s="17" customFormat="1" outlineLevel="1" x14ac:dyDescent="0.3">
      <c r="B16" s="33" t="s">
        <v>182</v>
      </c>
      <c r="C16" s="73"/>
      <c r="D16" s="33"/>
      <c r="E16" s="93">
        <v>450</v>
      </c>
      <c r="F16" s="92"/>
      <c r="G16" s="92"/>
      <c r="H16" s="92"/>
      <c r="I16" s="92"/>
      <c r="J16" s="92"/>
      <c r="K16" s="73"/>
      <c r="L16" s="26" t="s">
        <v>184</v>
      </c>
      <c r="M16" s="75"/>
      <c r="N16" s="75"/>
      <c r="O16" s="75"/>
    </row>
    <row r="17" spans="2:15" s="17" customFormat="1" outlineLevel="1" x14ac:dyDescent="0.3">
      <c r="B17" s="33" t="s">
        <v>185</v>
      </c>
      <c r="C17" s="73"/>
      <c r="D17" s="33"/>
      <c r="E17" s="93">
        <v>150</v>
      </c>
      <c r="F17" s="92"/>
      <c r="G17" s="92"/>
      <c r="H17" s="92"/>
      <c r="I17" s="92"/>
      <c r="J17" s="92"/>
      <c r="K17" s="73"/>
      <c r="L17" s="26" t="s">
        <v>186</v>
      </c>
      <c r="M17" s="75"/>
      <c r="N17" s="75"/>
      <c r="O17" s="75"/>
    </row>
    <row r="18" spans="2:15" s="17" customFormat="1" x14ac:dyDescent="0.3">
      <c r="B18" s="33"/>
      <c r="C18" s="33"/>
      <c r="D18" s="33"/>
      <c r="E18" s="94"/>
      <c r="F18" s="94"/>
      <c r="G18" s="95"/>
      <c r="H18" s="95"/>
      <c r="I18" s="95"/>
      <c r="J18" s="95"/>
      <c r="K18" s="33"/>
      <c r="L18" s="26"/>
    </row>
    <row r="19" spans="2:15" s="2" customFormat="1" x14ac:dyDescent="0.3">
      <c r="B19" s="87" t="s">
        <v>197</v>
      </c>
      <c r="C19" s="88"/>
      <c r="D19" s="87"/>
      <c r="E19" s="88">
        <f>E7</f>
        <v>2026</v>
      </c>
      <c r="F19" s="88">
        <f>$E19+COLUMN()-COLUMN($E19)</f>
        <v>2027</v>
      </c>
      <c r="G19" s="88">
        <f t="shared" ref="G19:J19" si="1">$E19+COLUMN()-COLUMN($E19)</f>
        <v>2028</v>
      </c>
      <c r="H19" s="88">
        <f t="shared" si="1"/>
        <v>2029</v>
      </c>
      <c r="I19" s="88">
        <f t="shared" si="1"/>
        <v>2030</v>
      </c>
      <c r="J19" s="88">
        <f t="shared" si="1"/>
        <v>2031</v>
      </c>
      <c r="K19" s="30"/>
      <c r="L19" s="36"/>
      <c r="M19" s="9"/>
      <c r="N19" s="9"/>
      <c r="O19" s="12"/>
    </row>
    <row r="20" spans="2:15" s="26" customFormat="1" ht="13.8" x14ac:dyDescent="0.3">
      <c r="E20" s="96"/>
      <c r="F20" s="96"/>
      <c r="G20" s="97"/>
      <c r="H20" s="97"/>
      <c r="I20" s="97"/>
      <c r="J20" s="97"/>
    </row>
    <row r="21" spans="2:15" s="28" customFormat="1" ht="13.8" x14ac:dyDescent="0.3">
      <c r="B21" s="28" t="s">
        <v>150</v>
      </c>
      <c r="E21" s="104"/>
      <c r="F21" s="99">
        <v>1225</v>
      </c>
      <c r="G21" s="99">
        <v>1225</v>
      </c>
      <c r="H21" s="99">
        <v>1225</v>
      </c>
      <c r="I21" s="99">
        <v>1225</v>
      </c>
      <c r="J21" s="99">
        <v>1225</v>
      </c>
      <c r="L21" s="28" t="s">
        <v>19</v>
      </c>
    </row>
    <row r="22" spans="2:15" s="26" customFormat="1" ht="13.8" x14ac:dyDescent="0.3">
      <c r="E22" s="95"/>
      <c r="F22" s="95"/>
      <c r="G22" s="97"/>
      <c r="H22" s="97"/>
      <c r="I22" s="97"/>
      <c r="J22" s="97"/>
    </row>
    <row r="23" spans="2:15" s="26" customFormat="1" ht="13.8" x14ac:dyDescent="0.3">
      <c r="B23" s="37" t="s">
        <v>20</v>
      </c>
      <c r="C23" s="79">
        <f>-25%</f>
        <v>-0.25</v>
      </c>
      <c r="E23" s="105"/>
      <c r="F23" s="97">
        <f>$C23*F21</f>
        <v>-306.25</v>
      </c>
      <c r="G23" s="97">
        <f t="shared" ref="G23:J23" si="2">$C23*G21</f>
        <v>-306.25</v>
      </c>
      <c r="H23" s="97">
        <f t="shared" si="2"/>
        <v>-306.25</v>
      </c>
      <c r="I23" s="97">
        <f t="shared" si="2"/>
        <v>-306.25</v>
      </c>
      <c r="J23" s="97">
        <f t="shared" si="2"/>
        <v>-306.25</v>
      </c>
      <c r="L23" s="26" t="s">
        <v>18</v>
      </c>
    </row>
    <row r="24" spans="2:15" s="26" customFormat="1" ht="13.8" x14ac:dyDescent="0.3">
      <c r="B24" s="37" t="s">
        <v>54</v>
      </c>
      <c r="E24" s="105"/>
      <c r="F24" s="91"/>
      <c r="G24" s="91"/>
      <c r="H24" s="91"/>
      <c r="I24" s="91"/>
      <c r="J24" s="91">
        <v>50</v>
      </c>
      <c r="L24" s="35" t="s">
        <v>27</v>
      </c>
    </row>
    <row r="25" spans="2:15" s="28" customFormat="1" ht="13.8" x14ac:dyDescent="0.3">
      <c r="B25" s="28" t="s">
        <v>21</v>
      </c>
      <c r="E25" s="106"/>
      <c r="F25" s="101">
        <f>SUM(F23:F24)</f>
        <v>-306.25</v>
      </c>
      <c r="G25" s="101">
        <f t="shared" ref="G25:J25" si="3">SUM(G23:G24)</f>
        <v>-306.25</v>
      </c>
      <c r="H25" s="101">
        <f t="shared" si="3"/>
        <v>-306.25</v>
      </c>
      <c r="I25" s="101">
        <f t="shared" si="3"/>
        <v>-306.25</v>
      </c>
      <c r="J25" s="101">
        <f t="shared" si="3"/>
        <v>-256.25</v>
      </c>
    </row>
    <row r="26" spans="2:15" s="26" customFormat="1" ht="13.8" x14ac:dyDescent="0.3">
      <c r="E26" s="97"/>
      <c r="F26" s="97"/>
      <c r="G26" s="97"/>
      <c r="H26" s="97"/>
      <c r="I26" s="97"/>
      <c r="J26" s="97"/>
    </row>
    <row r="27" spans="2:15" s="26" customFormat="1" ht="13.8" x14ac:dyDescent="0.3">
      <c r="B27" s="37" t="s">
        <v>22</v>
      </c>
      <c r="C27" s="79">
        <v>-0.05</v>
      </c>
      <c r="E27" s="105"/>
      <c r="F27" s="97">
        <f>$C27*F21</f>
        <v>-61.25</v>
      </c>
      <c r="G27" s="97">
        <f t="shared" ref="G27:J27" si="4">$C27*G21</f>
        <v>-61.25</v>
      </c>
      <c r="H27" s="97">
        <f t="shared" si="4"/>
        <v>-61.25</v>
      </c>
      <c r="I27" s="97">
        <f t="shared" si="4"/>
        <v>-61.25</v>
      </c>
      <c r="J27" s="97">
        <f t="shared" si="4"/>
        <v>-61.25</v>
      </c>
      <c r="L27" s="26" t="s">
        <v>18</v>
      </c>
    </row>
    <row r="28" spans="2:15" s="26" customFormat="1" ht="13.8" x14ac:dyDescent="0.3">
      <c r="B28" s="37" t="s">
        <v>55</v>
      </c>
      <c r="E28" s="105"/>
      <c r="F28" s="91"/>
      <c r="G28" s="91">
        <v>20</v>
      </c>
      <c r="H28" s="91"/>
      <c r="I28" s="91"/>
      <c r="J28" s="91"/>
      <c r="L28" s="35" t="s">
        <v>27</v>
      </c>
    </row>
    <row r="29" spans="2:15" s="26" customFormat="1" ht="13.8" x14ac:dyDescent="0.3">
      <c r="B29" s="37" t="s">
        <v>149</v>
      </c>
      <c r="E29" s="102">
        <v>-500</v>
      </c>
      <c r="F29" s="105"/>
      <c r="G29" s="105"/>
      <c r="H29" s="105"/>
      <c r="I29" s="105"/>
      <c r="J29" s="105"/>
      <c r="L29" s="26" t="s">
        <v>23</v>
      </c>
    </row>
    <row r="30" spans="2:15" s="26" customFormat="1" ht="13.8" x14ac:dyDescent="0.3">
      <c r="B30" s="37" t="s">
        <v>174</v>
      </c>
      <c r="E30" s="105"/>
      <c r="F30" s="95">
        <f>F96</f>
        <v>-240</v>
      </c>
      <c r="G30" s="95">
        <f t="shared" ref="G30:J30" si="5">G96</f>
        <v>-240</v>
      </c>
      <c r="H30" s="95">
        <f t="shared" si="5"/>
        <v>-240</v>
      </c>
      <c r="I30" s="95">
        <f t="shared" si="5"/>
        <v>-240</v>
      </c>
      <c r="J30" s="95">
        <f t="shared" si="5"/>
        <v>-240</v>
      </c>
      <c r="L30" s="26" t="s">
        <v>173</v>
      </c>
    </row>
    <row r="31" spans="2:15" s="26" customFormat="1" ht="13.8" x14ac:dyDescent="0.3">
      <c r="B31" s="37" t="s">
        <v>175</v>
      </c>
      <c r="E31" s="105"/>
      <c r="F31" s="95">
        <f>-F13</f>
        <v>60</v>
      </c>
      <c r="G31" s="95">
        <f t="shared" ref="G31:J31" si="6">-G13</f>
        <v>60</v>
      </c>
      <c r="H31" s="95">
        <f t="shared" si="6"/>
        <v>60</v>
      </c>
      <c r="I31" s="95">
        <f t="shared" si="6"/>
        <v>60</v>
      </c>
      <c r="J31" s="95">
        <f t="shared" si="6"/>
        <v>60</v>
      </c>
      <c r="L31" s="26" t="str">
        <f>"Kopie regel "&amp;ROW(L13)&amp;". Positieve niet gerealiseserde afschrijvingslasten oude investering"</f>
        <v>Kopie regel 13. Positieve niet gerealiseserde afschrijvingslasten oude investering</v>
      </c>
    </row>
    <row r="32" spans="2:15" s="28" customFormat="1" ht="13.8" x14ac:dyDescent="0.3">
      <c r="B32" s="28" t="s">
        <v>24</v>
      </c>
      <c r="E32" s="101">
        <f>SUM(E27:E31)</f>
        <v>-500</v>
      </c>
      <c r="F32" s="101">
        <f t="shared" ref="F32:J32" si="7">SUM(F27:F31)</f>
        <v>-241.25</v>
      </c>
      <c r="G32" s="101">
        <f t="shared" si="7"/>
        <v>-221.25</v>
      </c>
      <c r="H32" s="101">
        <f t="shared" si="7"/>
        <v>-241.25</v>
      </c>
      <c r="I32" s="101">
        <f t="shared" si="7"/>
        <v>-241.25</v>
      </c>
      <c r="J32" s="101">
        <f t="shared" si="7"/>
        <v>-241.25</v>
      </c>
    </row>
    <row r="33" spans="2:15" s="26" customFormat="1" ht="13.8" x14ac:dyDescent="0.3">
      <c r="E33" s="97"/>
      <c r="F33" s="97"/>
      <c r="G33" s="97"/>
      <c r="H33" s="97"/>
      <c r="I33" s="97"/>
      <c r="J33" s="97"/>
    </row>
    <row r="34" spans="2:15" s="26" customFormat="1" ht="13.8" x14ac:dyDescent="0.3">
      <c r="B34" s="76" t="s">
        <v>188</v>
      </c>
      <c r="E34" s="105"/>
      <c r="F34" s="107"/>
      <c r="G34" s="107"/>
      <c r="H34" s="107"/>
      <c r="I34" s="107"/>
      <c r="J34" s="95">
        <f ca="1">J106</f>
        <v>0</v>
      </c>
      <c r="L34" s="35" t="s">
        <v>156</v>
      </c>
    </row>
    <row r="35" spans="2:15" s="26" customFormat="1" ht="13.8" x14ac:dyDescent="0.3">
      <c r="B35" s="76" t="s">
        <v>189</v>
      </c>
      <c r="E35" s="97">
        <f>E17</f>
        <v>150</v>
      </c>
      <c r="F35" s="107"/>
      <c r="G35" s="107"/>
      <c r="H35" s="107"/>
      <c r="I35" s="107"/>
      <c r="J35" s="107"/>
      <c r="L35" s="35" t="str">
        <f>"Kopie regel "&amp;ROW(L17)&amp;". Verkoopresultaat oude investering jaat 0 (= inschatting verkoopopbrengst -/- boekwaarde jaar 0)"</f>
        <v>Kopie regel 17. Verkoopresultaat oude investering jaat 0 (= inschatting verkoopopbrengst -/- boekwaarde jaar 0)</v>
      </c>
    </row>
    <row r="36" spans="2:15" s="26" customFormat="1" ht="13.8" x14ac:dyDescent="0.3">
      <c r="B36" s="76" t="s">
        <v>190</v>
      </c>
      <c r="E36" s="105"/>
      <c r="F36" s="107"/>
      <c r="G36" s="107"/>
      <c r="H36" s="107"/>
      <c r="I36" s="107"/>
      <c r="J36" s="95">
        <f>-J15</f>
        <v>-10</v>
      </c>
      <c r="L36" s="35" t="str">
        <f>"Kopie regel "&amp;ROW(L15)&amp;". Verkoopresultaat oude investering laatste jaar (= inschatting verkoopopbrengst -/- boekwaarde)"</f>
        <v>Kopie regel 15. Verkoopresultaat oude investering laatste jaar (= inschatting verkoopopbrengst -/- boekwaarde)</v>
      </c>
    </row>
    <row r="37" spans="2:15" s="26" customFormat="1" ht="13.8" x14ac:dyDescent="0.3">
      <c r="B37" s="37"/>
      <c r="E37" s="97"/>
      <c r="F37" s="95"/>
      <c r="G37" s="95"/>
      <c r="H37" s="95"/>
      <c r="I37" s="95"/>
      <c r="J37" s="95"/>
      <c r="L37" s="35"/>
    </row>
    <row r="38" spans="2:15" s="28" customFormat="1" ht="13.8" x14ac:dyDescent="0.3">
      <c r="B38" s="28" t="s">
        <v>151</v>
      </c>
      <c r="E38" s="100">
        <f>E21+E25+SUM(E32:E37)</f>
        <v>-350</v>
      </c>
      <c r="F38" s="100">
        <f t="shared" ref="F38:J38" si="8">F21+F25+SUM(F32:F37)</f>
        <v>677.5</v>
      </c>
      <c r="G38" s="100">
        <f t="shared" si="8"/>
        <v>697.5</v>
      </c>
      <c r="H38" s="100">
        <f t="shared" si="8"/>
        <v>677.5</v>
      </c>
      <c r="I38" s="100">
        <f t="shared" si="8"/>
        <v>677.5</v>
      </c>
      <c r="J38" s="100">
        <f t="shared" ca="1" si="8"/>
        <v>717.5</v>
      </c>
    </row>
    <row r="39" spans="2:15" s="26" customFormat="1" ht="13.8" x14ac:dyDescent="0.3">
      <c r="E39" s="97"/>
      <c r="F39" s="97"/>
      <c r="G39" s="97"/>
      <c r="H39" s="97"/>
      <c r="I39" s="97"/>
      <c r="J39" s="97"/>
    </row>
    <row r="40" spans="2:15" s="26" customFormat="1" ht="13.8" x14ac:dyDescent="0.3">
      <c r="B40" s="26" t="s">
        <v>0</v>
      </c>
      <c r="C40" s="79">
        <v>-0.25</v>
      </c>
      <c r="E40" s="97">
        <f>$C40*E38</f>
        <v>87.5</v>
      </c>
      <c r="F40" s="97">
        <f>$C40*F38</f>
        <v>-169.375</v>
      </c>
      <c r="G40" s="97">
        <f t="shared" ref="G40:J40" si="9">$C40*G38</f>
        <v>-174.375</v>
      </c>
      <c r="H40" s="97">
        <f t="shared" si="9"/>
        <v>-169.375</v>
      </c>
      <c r="I40" s="97">
        <f t="shared" si="9"/>
        <v>-169.375</v>
      </c>
      <c r="J40" s="97">
        <f t="shared" ca="1" si="9"/>
        <v>-179.375</v>
      </c>
      <c r="L40" s="26" t="s">
        <v>17</v>
      </c>
    </row>
    <row r="41" spans="2:15" s="28" customFormat="1" thickBot="1" x14ac:dyDescent="0.35">
      <c r="B41" s="28" t="s">
        <v>26</v>
      </c>
      <c r="E41" s="103">
        <f>SUM(E38:E40)</f>
        <v>-262.5</v>
      </c>
      <c r="F41" s="103">
        <f>SUM(F38:F40)</f>
        <v>508.125</v>
      </c>
      <c r="G41" s="103">
        <f t="shared" ref="G41:J41" si="10">SUM(G38:G40)</f>
        <v>523.125</v>
      </c>
      <c r="H41" s="103">
        <f t="shared" si="10"/>
        <v>508.125</v>
      </c>
      <c r="I41" s="103">
        <f t="shared" si="10"/>
        <v>508.125</v>
      </c>
      <c r="J41" s="103">
        <f t="shared" ca="1" si="10"/>
        <v>538.125</v>
      </c>
    </row>
    <row r="42" spans="2:15" s="26" customFormat="1" thickTop="1" x14ac:dyDescent="0.3">
      <c r="E42" s="97"/>
      <c r="F42" s="97"/>
      <c r="G42" s="97"/>
      <c r="H42" s="97"/>
      <c r="I42" s="97"/>
      <c r="J42" s="97"/>
    </row>
    <row r="43" spans="2:15" s="2" customFormat="1" x14ac:dyDescent="0.3">
      <c r="B43" s="87" t="s">
        <v>198</v>
      </c>
      <c r="C43" s="88"/>
      <c r="D43" s="87"/>
      <c r="E43" s="88">
        <f t="shared" ref="E43:J43" si="11">E19</f>
        <v>2026</v>
      </c>
      <c r="F43" s="88">
        <f t="shared" si="11"/>
        <v>2027</v>
      </c>
      <c r="G43" s="88">
        <f t="shared" si="11"/>
        <v>2028</v>
      </c>
      <c r="H43" s="88">
        <f t="shared" si="11"/>
        <v>2029</v>
      </c>
      <c r="I43" s="88">
        <f t="shared" si="11"/>
        <v>2030</v>
      </c>
      <c r="J43" s="88">
        <f t="shared" si="11"/>
        <v>2031</v>
      </c>
      <c r="K43" s="30"/>
      <c r="L43" s="36"/>
      <c r="M43" s="9"/>
      <c r="N43" s="9"/>
      <c r="O43" s="12"/>
    </row>
    <row r="44" spans="2:15" s="26" customFormat="1" ht="13.8" x14ac:dyDescent="0.3">
      <c r="E44" s="96"/>
      <c r="F44" s="96"/>
      <c r="G44" s="97"/>
      <c r="H44" s="97"/>
      <c r="I44" s="97"/>
      <c r="J44" s="97"/>
    </row>
    <row r="45" spans="2:15" s="28" customFormat="1" ht="13.8" x14ac:dyDescent="0.3">
      <c r="B45" s="28" t="s">
        <v>26</v>
      </c>
      <c r="E45" s="100">
        <f>E41</f>
        <v>-262.5</v>
      </c>
      <c r="F45" s="100">
        <f t="shared" ref="F45:J45" si="12">F41</f>
        <v>508.125</v>
      </c>
      <c r="G45" s="100">
        <f t="shared" si="12"/>
        <v>523.125</v>
      </c>
      <c r="H45" s="100">
        <f t="shared" si="12"/>
        <v>508.125</v>
      </c>
      <c r="I45" s="100">
        <f t="shared" si="12"/>
        <v>508.125</v>
      </c>
      <c r="J45" s="100">
        <f t="shared" ca="1" si="12"/>
        <v>538.125</v>
      </c>
    </row>
    <row r="46" spans="2:15" s="26" customFormat="1" ht="13.8" x14ac:dyDescent="0.3">
      <c r="E46" s="97"/>
      <c r="F46" s="97"/>
      <c r="G46" s="97"/>
      <c r="H46" s="97"/>
      <c r="I46" s="97"/>
      <c r="J46" s="97"/>
    </row>
    <row r="47" spans="2:15" s="26" customFormat="1" ht="13.8" x14ac:dyDescent="0.3">
      <c r="B47" s="26" t="s">
        <v>29</v>
      </c>
      <c r="E47" s="105"/>
      <c r="F47" s="97">
        <f>-F30-F31</f>
        <v>180</v>
      </c>
      <c r="G47" s="97">
        <f t="shared" ref="G47:J47" si="13">-G30-G31</f>
        <v>180</v>
      </c>
      <c r="H47" s="97">
        <f t="shared" si="13"/>
        <v>180</v>
      </c>
      <c r="I47" s="97">
        <f t="shared" si="13"/>
        <v>180</v>
      </c>
      <c r="J47" s="97">
        <f t="shared" si="13"/>
        <v>180</v>
      </c>
      <c r="L47" s="26" t="s">
        <v>199</v>
      </c>
    </row>
    <row r="48" spans="2:15" s="26" customFormat="1" ht="13.8" x14ac:dyDescent="0.3">
      <c r="B48" s="26" t="s">
        <v>152</v>
      </c>
      <c r="E48" s="97">
        <f>-SUM(E34:E36)</f>
        <v>-150</v>
      </c>
      <c r="F48" s="105">
        <f t="shared" ref="F48:J48" si="14">-SUM(F34:F36)</f>
        <v>0</v>
      </c>
      <c r="G48" s="105">
        <f t="shared" si="14"/>
        <v>0</v>
      </c>
      <c r="H48" s="105">
        <f t="shared" si="14"/>
        <v>0</v>
      </c>
      <c r="I48" s="105">
        <f t="shared" si="14"/>
        <v>0</v>
      </c>
      <c r="J48" s="97">
        <f t="shared" ca="1" si="14"/>
        <v>10</v>
      </c>
      <c r="L48" s="26" t="s">
        <v>200</v>
      </c>
    </row>
    <row r="49" spans="2:12" s="26" customFormat="1" ht="13.8" x14ac:dyDescent="0.3">
      <c r="B49" s="26" t="s">
        <v>30</v>
      </c>
      <c r="E49" s="102">
        <v>-40</v>
      </c>
      <c r="F49" s="102">
        <v>-10</v>
      </c>
      <c r="G49" s="102"/>
      <c r="H49" s="102"/>
      <c r="I49" s="102"/>
      <c r="J49" s="102">
        <v>50</v>
      </c>
      <c r="L49" s="26" t="s">
        <v>153</v>
      </c>
    </row>
    <row r="50" spans="2:12" s="26" customFormat="1" ht="13.8" x14ac:dyDescent="0.3">
      <c r="E50" s="97"/>
      <c r="F50" s="97"/>
      <c r="G50" s="97"/>
      <c r="H50" s="97"/>
      <c r="I50" s="97"/>
      <c r="J50" s="97"/>
      <c r="L50" s="26" t="s">
        <v>154</v>
      </c>
    </row>
    <row r="51" spans="2:12" s="26" customFormat="1" ht="13.8" x14ac:dyDescent="0.3">
      <c r="B51" s="26" t="s">
        <v>195</v>
      </c>
      <c r="E51" s="102">
        <v>-1500</v>
      </c>
      <c r="F51" s="105"/>
      <c r="G51" s="105"/>
      <c r="H51" s="105"/>
      <c r="I51" s="105"/>
      <c r="J51" s="105"/>
      <c r="L51" s="26" t="s">
        <v>53</v>
      </c>
    </row>
    <row r="52" spans="2:12" s="26" customFormat="1" ht="13.8" x14ac:dyDescent="0.3">
      <c r="B52" s="26" t="s">
        <v>191</v>
      </c>
      <c r="E52" s="105"/>
      <c r="F52" s="105"/>
      <c r="G52" s="105"/>
      <c r="H52" s="105"/>
      <c r="I52" s="105"/>
      <c r="J52" s="102">
        <v>300</v>
      </c>
      <c r="L52" s="26" t="s">
        <v>147</v>
      </c>
    </row>
    <row r="53" spans="2:12" s="26" customFormat="1" ht="13.8" x14ac:dyDescent="0.3">
      <c r="B53" s="26" t="s">
        <v>193</v>
      </c>
      <c r="E53" s="97">
        <f>E16</f>
        <v>450</v>
      </c>
      <c r="F53" s="105"/>
      <c r="G53" s="105"/>
      <c r="H53" s="105"/>
      <c r="I53" s="105"/>
      <c r="J53" s="105"/>
      <c r="L53" s="26" t="str">
        <f>"Kopie regel "&amp;ROW(L16)&amp;". Verkoopopbrengst oude investering jaar 0 als gevolg van nieuwe investering"</f>
        <v>Kopie regel 16. Verkoopopbrengst oude investering jaar 0 als gevolg van nieuwe investering</v>
      </c>
    </row>
    <row r="54" spans="2:12" s="26" customFormat="1" ht="13.8" x14ac:dyDescent="0.3">
      <c r="B54" s="26" t="s">
        <v>187</v>
      </c>
      <c r="E54" s="105"/>
      <c r="F54" s="105"/>
      <c r="G54" s="105"/>
      <c r="H54" s="105"/>
      <c r="I54" s="105"/>
      <c r="J54" s="97">
        <f>-J14</f>
        <v>-50</v>
      </c>
      <c r="L54" s="26" t="str">
        <f>"Kopie regel "&amp;ROW(L14)&amp;". Restwaarde/verkoopopbrengst van oude investering die niet gerealiseerd wordt als gevolg van aanschaf nieuwe investering (en verkoop oude investering op tijdstip 0)"</f>
        <v>Kopie regel 14. Restwaarde/verkoopopbrengst van oude investering die niet gerealiseerd wordt als gevolg van aanschaf nieuwe investering (en verkoop oude investering op tijdstip 0)</v>
      </c>
    </row>
    <row r="55" spans="2:12" s="26" customFormat="1" ht="13.8" x14ac:dyDescent="0.3">
      <c r="E55" s="97"/>
      <c r="F55" s="97"/>
      <c r="G55" s="97"/>
      <c r="H55" s="97"/>
      <c r="I55" s="97"/>
      <c r="J55" s="97"/>
    </row>
    <row r="56" spans="2:12" s="28" customFormat="1" thickBot="1" x14ac:dyDescent="0.35">
      <c r="B56" s="28" t="s">
        <v>31</v>
      </c>
      <c r="E56" s="103">
        <f>SUM(E45:E55)</f>
        <v>-1502.5</v>
      </c>
      <c r="F56" s="103">
        <f t="shared" ref="F56:J56" si="15">SUM(F45:F55)</f>
        <v>678.125</v>
      </c>
      <c r="G56" s="103">
        <f t="shared" si="15"/>
        <v>703.125</v>
      </c>
      <c r="H56" s="103">
        <f t="shared" si="15"/>
        <v>688.125</v>
      </c>
      <c r="I56" s="103">
        <f t="shared" si="15"/>
        <v>688.125</v>
      </c>
      <c r="J56" s="103">
        <f t="shared" ca="1" si="15"/>
        <v>1028.125</v>
      </c>
    </row>
    <row r="57" spans="2:12" s="26" customFormat="1" thickTop="1" x14ac:dyDescent="0.3">
      <c r="E57" s="97"/>
      <c r="F57" s="97"/>
      <c r="G57" s="97"/>
      <c r="H57" s="97"/>
      <c r="I57" s="97"/>
      <c r="J57" s="97"/>
    </row>
    <row r="58" spans="2:12" s="26" customFormat="1" ht="13.8" x14ac:dyDescent="0.3">
      <c r="B58" s="26" t="s">
        <v>35</v>
      </c>
      <c r="E58" s="97">
        <f>E56</f>
        <v>-1502.5</v>
      </c>
      <c r="F58" s="97">
        <f ca="1">F56+OFFSET(F58,0,-1)</f>
        <v>-824.375</v>
      </c>
      <c r="G58" s="97">
        <f t="shared" ref="G58:J58" ca="1" si="16">G56+OFFSET(G58,0,-1)</f>
        <v>-121.25</v>
      </c>
      <c r="H58" s="97">
        <f t="shared" ca="1" si="16"/>
        <v>566.875</v>
      </c>
      <c r="I58" s="97">
        <f t="shared" ca="1" si="16"/>
        <v>1255</v>
      </c>
      <c r="J58" s="97">
        <f t="shared" ca="1" si="16"/>
        <v>2283.125</v>
      </c>
    </row>
    <row r="59" spans="2:12" s="26" customFormat="1" ht="13.8" x14ac:dyDescent="0.3">
      <c r="B59" s="26" t="s">
        <v>37</v>
      </c>
      <c r="E59" s="97">
        <f t="shared" ref="E59:J59" si="17">E56*E70</f>
        <v>-1502.5</v>
      </c>
      <c r="F59" s="97">
        <f t="shared" si="17"/>
        <v>616.47727272727275</v>
      </c>
      <c r="G59" s="97">
        <f t="shared" si="17"/>
        <v>581.09504132231393</v>
      </c>
      <c r="H59" s="97">
        <f t="shared" si="17"/>
        <v>516.99849737039801</v>
      </c>
      <c r="I59" s="97">
        <f t="shared" si="17"/>
        <v>469.99863397308917</v>
      </c>
      <c r="J59" s="97">
        <f t="shared" ca="1" si="17"/>
        <v>638.38473527019369</v>
      </c>
    </row>
    <row r="60" spans="2:12" s="26" customFormat="1" ht="13.8" x14ac:dyDescent="0.3">
      <c r="B60" s="26" t="s">
        <v>38</v>
      </c>
      <c r="E60" s="97">
        <f>E59</f>
        <v>-1502.5</v>
      </c>
      <c r="F60" s="97">
        <f ca="1">F59+OFFSET(F60,0,-1)</f>
        <v>-886.02272727272725</v>
      </c>
      <c r="G60" s="97">
        <f t="shared" ref="G60:J60" ca="1" si="18">G59+OFFSET(G60,0,-1)</f>
        <v>-304.92768595041332</v>
      </c>
      <c r="H60" s="97">
        <f t="shared" ca="1" si="18"/>
        <v>212.07081141998469</v>
      </c>
      <c r="I60" s="97">
        <f t="shared" ca="1" si="18"/>
        <v>682.06944539307392</v>
      </c>
      <c r="J60" s="97">
        <f t="shared" ca="1" si="18"/>
        <v>1320.4541806632676</v>
      </c>
    </row>
    <row r="61" spans="2:12" s="26" customFormat="1" ht="13.8" x14ac:dyDescent="0.3">
      <c r="E61" s="97"/>
      <c r="F61" s="97"/>
      <c r="G61" s="97"/>
      <c r="H61" s="97"/>
      <c r="I61" s="97"/>
      <c r="J61" s="97"/>
    </row>
    <row r="62" spans="2:12" s="26" customFormat="1" ht="13.8" x14ac:dyDescent="0.3">
      <c r="B62" s="26" t="s">
        <v>34</v>
      </c>
      <c r="E62" s="97">
        <f ca="1">SUM(E59:J59)</f>
        <v>1320.4541806632676</v>
      </c>
      <c r="F62" s="97"/>
      <c r="G62" s="97"/>
      <c r="H62" s="97"/>
      <c r="I62" s="97"/>
      <c r="J62" s="97"/>
    </row>
    <row r="63" spans="2:12" s="26" customFormat="1" ht="13.8" x14ac:dyDescent="0.3">
      <c r="B63" s="26" t="s">
        <v>33</v>
      </c>
      <c r="E63" s="38">
        <f ca="1">E77</f>
        <v>2.1762034514078112</v>
      </c>
      <c r="L63" s="26" t="s">
        <v>45</v>
      </c>
    </row>
    <row r="64" spans="2:12" s="26" customFormat="1" ht="13.8" x14ac:dyDescent="0.3">
      <c r="B64" s="26" t="s">
        <v>220</v>
      </c>
      <c r="E64" s="40">
        <f ca="1">E84</f>
        <v>2.5898038147138971</v>
      </c>
      <c r="L64" s="26" t="s">
        <v>46</v>
      </c>
    </row>
    <row r="65" spans="2:15" s="26" customFormat="1" ht="13.8" x14ac:dyDescent="0.3">
      <c r="B65" s="26" t="s">
        <v>40</v>
      </c>
      <c r="E65" s="29">
        <f ca="1">IRR(E56:J56)</f>
        <v>0.38552966937985467</v>
      </c>
      <c r="L65" s="26" t="s">
        <v>50</v>
      </c>
    </row>
    <row r="66" spans="2:15" s="26" customFormat="1" ht="13.8" x14ac:dyDescent="0.3"/>
    <row r="67" spans="2:15" s="2" customFormat="1" x14ac:dyDescent="0.3">
      <c r="B67" s="87" t="s">
        <v>67</v>
      </c>
      <c r="C67" s="88"/>
      <c r="D67" s="87"/>
      <c r="E67" s="88">
        <f t="shared" ref="E67:J67" si="19">E19</f>
        <v>2026</v>
      </c>
      <c r="F67" s="88">
        <f t="shared" si="19"/>
        <v>2027</v>
      </c>
      <c r="G67" s="88">
        <f t="shared" si="19"/>
        <v>2028</v>
      </c>
      <c r="H67" s="88">
        <f t="shared" si="19"/>
        <v>2029</v>
      </c>
      <c r="I67" s="88">
        <f t="shared" si="19"/>
        <v>2030</v>
      </c>
      <c r="J67" s="88">
        <f t="shared" si="19"/>
        <v>2031</v>
      </c>
      <c r="K67" s="30"/>
      <c r="L67" s="36"/>
      <c r="M67" s="9"/>
      <c r="N67" s="9"/>
      <c r="O67" s="12"/>
    </row>
    <row r="68" spans="2:15" s="26" customFormat="1" ht="13.8" outlineLevel="1" x14ac:dyDescent="0.3">
      <c r="E68" s="31"/>
      <c r="F68" s="31"/>
    </row>
    <row r="69" spans="2:15" s="17" customFormat="1" outlineLevel="1" x14ac:dyDescent="0.3">
      <c r="B69" s="33" t="s">
        <v>32</v>
      </c>
      <c r="C69" s="33"/>
      <c r="D69" s="33"/>
      <c r="E69" s="41">
        <f>E67-$E67</f>
        <v>0</v>
      </c>
      <c r="F69" s="41">
        <f t="shared" ref="F69:J69" si="20">F67-$E67</f>
        <v>1</v>
      </c>
      <c r="G69" s="41">
        <f t="shared" si="20"/>
        <v>2</v>
      </c>
      <c r="H69" s="41">
        <f t="shared" si="20"/>
        <v>3</v>
      </c>
      <c r="I69" s="41">
        <f t="shared" si="20"/>
        <v>4</v>
      </c>
      <c r="J69" s="41">
        <f t="shared" si="20"/>
        <v>5</v>
      </c>
      <c r="K69" s="33"/>
      <c r="L69" s="33"/>
    </row>
    <row r="70" spans="2:15" s="26" customFormat="1" ht="13.8" outlineLevel="1" x14ac:dyDescent="0.3">
      <c r="B70" s="26" t="s">
        <v>36</v>
      </c>
      <c r="E70" s="109">
        <f t="shared" ref="E70:J70" si="21">1/(1+$E$8)^E69</f>
        <v>1</v>
      </c>
      <c r="F70" s="109">
        <f t="shared" si="21"/>
        <v>0.90909090909090906</v>
      </c>
      <c r="G70" s="109">
        <f t="shared" si="21"/>
        <v>0.82644628099173545</v>
      </c>
      <c r="H70" s="109">
        <f t="shared" si="21"/>
        <v>0.75131480090157754</v>
      </c>
      <c r="I70" s="109">
        <f t="shared" si="21"/>
        <v>0.68301345536507052</v>
      </c>
      <c r="J70" s="109">
        <f t="shared" si="21"/>
        <v>0.62092132305915493</v>
      </c>
    </row>
    <row r="71" spans="2:15" s="26" customFormat="1" ht="13.8" outlineLevel="1" x14ac:dyDescent="0.3">
      <c r="E71" s="39"/>
      <c r="F71" s="39"/>
      <c r="G71" s="39"/>
      <c r="H71" s="39"/>
      <c r="I71" s="39"/>
      <c r="J71" s="39"/>
    </row>
    <row r="72" spans="2:15" s="26" customFormat="1" ht="13.8" outlineLevel="1" x14ac:dyDescent="0.3">
      <c r="B72" s="26" t="str">
        <f>B58</f>
        <v>Cumulatieve incementele kasstromen</v>
      </c>
      <c r="E72" s="97">
        <f>E58</f>
        <v>-1502.5</v>
      </c>
      <c r="F72" s="97">
        <f t="shared" ref="F72:J72" ca="1" si="22">F58</f>
        <v>-824.375</v>
      </c>
      <c r="G72" s="97">
        <f t="shared" ca="1" si="22"/>
        <v>-121.25</v>
      </c>
      <c r="H72" s="97">
        <f t="shared" ca="1" si="22"/>
        <v>566.875</v>
      </c>
      <c r="I72" s="97">
        <f t="shared" ca="1" si="22"/>
        <v>1255</v>
      </c>
      <c r="J72" s="97">
        <f t="shared" ca="1" si="22"/>
        <v>2283.125</v>
      </c>
      <c r="L72" s="27"/>
    </row>
    <row r="73" spans="2:15" s="26" customFormat="1" ht="13.8" outlineLevel="1" x14ac:dyDescent="0.3">
      <c r="B73" s="26" t="s">
        <v>41</v>
      </c>
      <c r="E73" s="108"/>
      <c r="F73" s="38">
        <f t="shared" ref="F73:J73" ca="1" si="23">IF(AND(SIGN(OFFSET(F72,0,-1))=-1,SIGN(F72)&gt;-1),-OFFSET(F72,0,-1)/(-OFFSET(F72,0,-1)+F72),0)</f>
        <v>0</v>
      </c>
      <c r="G73" s="38">
        <f t="shared" ca="1" si="23"/>
        <v>0</v>
      </c>
      <c r="H73" s="38">
        <f t="shared" ca="1" si="23"/>
        <v>0.17620345140781107</v>
      </c>
      <c r="I73" s="38">
        <f t="shared" ca="1" si="23"/>
        <v>0</v>
      </c>
      <c r="J73" s="38">
        <f t="shared" ca="1" si="23"/>
        <v>0</v>
      </c>
    </row>
    <row r="74" spans="2:15" s="26" customFormat="1" ht="13.8" outlineLevel="1" x14ac:dyDescent="0.3">
      <c r="B74" s="26" t="s">
        <v>42</v>
      </c>
      <c r="E74" s="38" t="str">
        <f ca="1">IF(J72&lt;0,"nee","ja")</f>
        <v>ja</v>
      </c>
      <c r="F74" s="38"/>
      <c r="G74" s="38"/>
      <c r="H74" s="38"/>
      <c r="I74" s="38"/>
      <c r="J74" s="38"/>
    </row>
    <row r="75" spans="2:15" s="26" customFormat="1" ht="13.8" outlineLevel="1" x14ac:dyDescent="0.3">
      <c r="B75" s="26" t="s">
        <v>44</v>
      </c>
      <c r="E75" s="27">
        <f ca="1">IF(E74="ja",COUNTIF(E72:J72,"&lt;0"),"nvt")</f>
        <v>3</v>
      </c>
      <c r="F75" s="38"/>
      <c r="G75" s="38"/>
      <c r="H75" s="38"/>
      <c r="I75" s="38"/>
      <c r="J75" s="38"/>
    </row>
    <row r="76" spans="2:15" s="26" customFormat="1" ht="13.8" outlineLevel="1" x14ac:dyDescent="0.3">
      <c r="B76" s="26" t="s">
        <v>41</v>
      </c>
      <c r="E76" s="38">
        <f ca="1">INDEX(F73:J73,E75)</f>
        <v>0.17620345140781107</v>
      </c>
      <c r="F76" s="38"/>
      <c r="G76" s="38"/>
      <c r="H76" s="38"/>
      <c r="I76" s="38"/>
      <c r="J76" s="38"/>
    </row>
    <row r="77" spans="2:15" s="26" customFormat="1" ht="13.8" outlineLevel="1" x14ac:dyDescent="0.3">
      <c r="B77" s="26" t="s">
        <v>43</v>
      </c>
      <c r="E77" s="38">
        <f ca="1">IFERROR(E75-1+E76,"nvt")</f>
        <v>2.1762034514078112</v>
      </c>
      <c r="F77" s="38"/>
      <c r="G77" s="38"/>
      <c r="H77" s="38"/>
      <c r="I77" s="38"/>
      <c r="J77" s="38"/>
    </row>
    <row r="78" spans="2:15" s="26" customFormat="1" ht="13.8" outlineLevel="1" x14ac:dyDescent="0.3"/>
    <row r="79" spans="2:15" s="26" customFormat="1" ht="13.8" outlineLevel="1" x14ac:dyDescent="0.3">
      <c r="B79" s="26" t="str">
        <f>B60</f>
        <v>Cumulatieve CW</v>
      </c>
      <c r="E79" s="97">
        <f>E60</f>
        <v>-1502.5</v>
      </c>
      <c r="F79" s="97">
        <f t="shared" ref="F79:J79" ca="1" si="24">F60</f>
        <v>-886.02272727272725</v>
      </c>
      <c r="G79" s="97">
        <f t="shared" ca="1" si="24"/>
        <v>-304.92768595041332</v>
      </c>
      <c r="H79" s="97">
        <f t="shared" ca="1" si="24"/>
        <v>212.07081141998469</v>
      </c>
      <c r="I79" s="97">
        <f t="shared" ca="1" si="24"/>
        <v>682.06944539307392</v>
      </c>
      <c r="J79" s="97">
        <f t="shared" ca="1" si="24"/>
        <v>1320.4541806632676</v>
      </c>
      <c r="L79" s="27"/>
    </row>
    <row r="80" spans="2:15" s="26" customFormat="1" ht="13.8" outlineLevel="1" x14ac:dyDescent="0.3">
      <c r="B80" s="26" t="s">
        <v>41</v>
      </c>
      <c r="E80" s="38"/>
      <c r="F80" s="38">
        <f ca="1">IF(AND(SIGN(OFFSET(F79,0,-1))=-1,SIGN(F79)&gt;-1),-OFFSET(F79,0,-1)/(-OFFSET(F79,0,-1)+F79),0)</f>
        <v>0</v>
      </c>
      <c r="G80" s="38">
        <f t="shared" ref="G80:J80" ca="1" si="25">IF(AND(SIGN(OFFSET(G79,0,-1))=-1,SIGN(G79)&gt;-1),-OFFSET(G79,0,-1)/(-OFFSET(G79,0,-1)+G79),0)</f>
        <v>0</v>
      </c>
      <c r="H80" s="38">
        <f t="shared" ca="1" si="25"/>
        <v>0.58980381471389687</v>
      </c>
      <c r="I80" s="38">
        <f t="shared" ca="1" si="25"/>
        <v>0</v>
      </c>
      <c r="J80" s="38">
        <f t="shared" ca="1" si="25"/>
        <v>0</v>
      </c>
    </row>
    <row r="81" spans="2:15" s="26" customFormat="1" ht="13.8" outlineLevel="1" x14ac:dyDescent="0.3">
      <c r="B81" s="26" t="s">
        <v>42</v>
      </c>
      <c r="E81" s="38" t="str">
        <f ca="1">IF(J79&lt;0,"nee","ja")</f>
        <v>ja</v>
      </c>
      <c r="F81" s="38"/>
      <c r="G81" s="38"/>
      <c r="H81" s="38"/>
      <c r="I81" s="38"/>
      <c r="J81" s="38"/>
    </row>
    <row r="82" spans="2:15" s="26" customFormat="1" ht="13.8" outlineLevel="1" x14ac:dyDescent="0.3">
      <c r="B82" s="26" t="s">
        <v>44</v>
      </c>
      <c r="E82" s="27">
        <f ca="1">IF(E81="ja",COUNTIF(E79:J79,"&lt;0"),"nvt")</f>
        <v>3</v>
      </c>
      <c r="F82" s="38"/>
      <c r="G82" s="38"/>
      <c r="H82" s="38"/>
      <c r="I82" s="38"/>
      <c r="J82" s="38"/>
    </row>
    <row r="83" spans="2:15" s="26" customFormat="1" ht="13.8" outlineLevel="1" x14ac:dyDescent="0.3">
      <c r="B83" s="26" t="s">
        <v>41</v>
      </c>
      <c r="E83" s="38">
        <f ca="1">INDEX(F80:J80,E82)</f>
        <v>0.58980381471389687</v>
      </c>
      <c r="F83" s="38"/>
      <c r="G83" s="38"/>
      <c r="H83" s="38"/>
      <c r="I83" s="38"/>
      <c r="J83" s="38"/>
    </row>
    <row r="84" spans="2:15" s="26" customFormat="1" ht="13.8" outlineLevel="1" x14ac:dyDescent="0.3">
      <c r="B84" s="26" t="s">
        <v>63</v>
      </c>
      <c r="E84" s="38">
        <f ca="1">IFERROR(E82-1+E83,"nvt")</f>
        <v>2.5898038147138971</v>
      </c>
      <c r="F84" s="38"/>
      <c r="G84" s="38"/>
      <c r="H84" s="38"/>
      <c r="I84" s="38"/>
      <c r="J84" s="38"/>
    </row>
    <row r="85" spans="2:15" s="26" customFormat="1" ht="13.8" outlineLevel="1" x14ac:dyDescent="0.3"/>
    <row r="86" spans="2:15" s="26" customFormat="1" ht="13.8" outlineLevel="1" x14ac:dyDescent="0.3">
      <c r="B86" s="32" t="s">
        <v>48</v>
      </c>
    </row>
    <row r="87" spans="2:15" s="26" customFormat="1" ht="13.8" outlineLevel="1" x14ac:dyDescent="0.3">
      <c r="B87" s="26" t="s">
        <v>47</v>
      </c>
      <c r="E87" s="97">
        <f ca="1">NPV(E8,F56:J56)+E56</f>
        <v>1320.4541806632674</v>
      </c>
    </row>
    <row r="88" spans="2:15" s="26" customFormat="1" ht="13.8" outlineLevel="1" x14ac:dyDescent="0.3">
      <c r="B88" s="26" t="s">
        <v>80</v>
      </c>
      <c r="E88" s="97">
        <f ca="1">E62</f>
        <v>1320.4541806632676</v>
      </c>
    </row>
    <row r="89" spans="2:15" s="26" customFormat="1" ht="13.8" outlineLevel="1" x14ac:dyDescent="0.3">
      <c r="B89" s="26" t="s">
        <v>49</v>
      </c>
      <c r="E89" s="26" t="b">
        <f ca="1">ROUND(E87,2)=ROUND(E88,2)</f>
        <v>1</v>
      </c>
    </row>
    <row r="90" spans="2:15" s="26" customFormat="1" ht="13.8" outlineLevel="1" x14ac:dyDescent="0.3"/>
    <row r="91" spans="2:15" s="26" customFormat="1" ht="13.8" x14ac:dyDescent="0.3"/>
    <row r="92" spans="2:15" s="2" customFormat="1" x14ac:dyDescent="0.3">
      <c r="B92" s="87" t="s">
        <v>72</v>
      </c>
      <c r="C92" s="88"/>
      <c r="D92" s="87"/>
      <c r="E92" s="88">
        <f t="shared" ref="E92:J92" si="26">E19</f>
        <v>2026</v>
      </c>
      <c r="F92" s="88">
        <f t="shared" si="26"/>
        <v>2027</v>
      </c>
      <c r="G92" s="88">
        <f t="shared" si="26"/>
        <v>2028</v>
      </c>
      <c r="H92" s="88">
        <f t="shared" si="26"/>
        <v>2029</v>
      </c>
      <c r="I92" s="88">
        <f t="shared" si="26"/>
        <v>2030</v>
      </c>
      <c r="J92" s="88">
        <f t="shared" si="26"/>
        <v>2031</v>
      </c>
      <c r="K92" s="30"/>
      <c r="L92" s="36"/>
      <c r="M92" s="9"/>
      <c r="N92" s="9"/>
      <c r="O92" s="12"/>
    </row>
    <row r="93" spans="2:15" s="26" customFormat="1" ht="13.8" outlineLevel="1" x14ac:dyDescent="0.3">
      <c r="E93" s="31"/>
      <c r="F93" s="31"/>
    </row>
    <row r="94" spans="2:15" s="26" customFormat="1" ht="13.8" outlineLevel="1" x14ac:dyDescent="0.3">
      <c r="B94" s="26" t="s">
        <v>73</v>
      </c>
      <c r="C94" s="97">
        <f>SUM(E94:J94)</f>
        <v>-1200</v>
      </c>
      <c r="D94" s="97"/>
      <c r="E94" s="97">
        <f>E51</f>
        <v>-1500</v>
      </c>
      <c r="F94" s="105"/>
      <c r="G94" s="105"/>
      <c r="H94" s="105"/>
      <c r="I94" s="105"/>
      <c r="J94" s="97">
        <f>J52</f>
        <v>300</v>
      </c>
    </row>
    <row r="95" spans="2:15" s="26" customFormat="1" ht="13.8" outlineLevel="1" x14ac:dyDescent="0.3">
      <c r="B95" s="26" t="s">
        <v>74</v>
      </c>
      <c r="C95" s="44">
        <f>J92-E92</f>
        <v>5</v>
      </c>
      <c r="L95" s="26" t="s">
        <v>78</v>
      </c>
    </row>
    <row r="96" spans="2:15" s="26" customFormat="1" ht="13.8" outlineLevel="1" x14ac:dyDescent="0.3">
      <c r="B96" s="26" t="s">
        <v>75</v>
      </c>
      <c r="C96" s="27">
        <f>C94/C95</f>
        <v>-240</v>
      </c>
      <c r="D96" s="27"/>
      <c r="E96" s="112"/>
      <c r="F96" s="97">
        <f>$C96</f>
        <v>-240</v>
      </c>
      <c r="G96" s="97">
        <f t="shared" ref="G96:J96" si="27">$C96</f>
        <v>-240</v>
      </c>
      <c r="H96" s="97">
        <f t="shared" si="27"/>
        <v>-240</v>
      </c>
      <c r="I96" s="97">
        <f t="shared" si="27"/>
        <v>-240</v>
      </c>
      <c r="J96" s="97">
        <f t="shared" si="27"/>
        <v>-240</v>
      </c>
    </row>
    <row r="97" spans="2:12" s="26" customFormat="1" ht="13.8" outlineLevel="1" x14ac:dyDescent="0.3">
      <c r="B97" s="26" t="s">
        <v>77</v>
      </c>
      <c r="C97" s="27"/>
      <c r="D97" s="27"/>
      <c r="E97" s="112"/>
      <c r="F97" s="97">
        <f>F96</f>
        <v>-240</v>
      </c>
      <c r="G97" s="97">
        <f ca="1">G96+OFFSET(G97,0,-1)</f>
        <v>-480</v>
      </c>
      <c r="H97" s="97">
        <f t="shared" ref="H97:J97" ca="1" si="28">H96+OFFSET(H97,0,-1)</f>
        <v>-720</v>
      </c>
      <c r="I97" s="97">
        <f t="shared" ca="1" si="28"/>
        <v>-960</v>
      </c>
      <c r="J97" s="97">
        <f t="shared" ca="1" si="28"/>
        <v>-1200</v>
      </c>
    </row>
    <row r="98" spans="2:12" s="26" customFormat="1" ht="13.8" outlineLevel="1" x14ac:dyDescent="0.3">
      <c r="B98" s="26" t="s">
        <v>76</v>
      </c>
      <c r="C98" s="27"/>
      <c r="D98" s="27"/>
      <c r="E98" s="112"/>
      <c r="F98" s="97">
        <f>$E94-F97</f>
        <v>-1260</v>
      </c>
      <c r="G98" s="97">
        <f t="shared" ref="G98:J98" ca="1" si="29">$E94-G97</f>
        <v>-1020</v>
      </c>
      <c r="H98" s="97">
        <f t="shared" ca="1" si="29"/>
        <v>-780</v>
      </c>
      <c r="I98" s="97">
        <f t="shared" ca="1" si="29"/>
        <v>-540</v>
      </c>
      <c r="J98" s="97">
        <f t="shared" ca="1" si="29"/>
        <v>-300</v>
      </c>
    </row>
    <row r="99" spans="2:12" s="26" customFormat="1" ht="13.8" outlineLevel="1" x14ac:dyDescent="0.3">
      <c r="B99" s="26" t="s">
        <v>79</v>
      </c>
      <c r="C99" s="27"/>
      <c r="D99" s="27"/>
      <c r="E99" s="112"/>
      <c r="F99" s="97">
        <f>$C94-F97</f>
        <v>-960</v>
      </c>
      <c r="G99" s="97">
        <f t="shared" ref="G99:J99" ca="1" si="30">$C94-G97</f>
        <v>-720</v>
      </c>
      <c r="H99" s="97">
        <f t="shared" ca="1" si="30"/>
        <v>-480</v>
      </c>
      <c r="I99" s="97">
        <f t="shared" ca="1" si="30"/>
        <v>-240</v>
      </c>
      <c r="J99" s="97">
        <f t="shared" ca="1" si="30"/>
        <v>0</v>
      </c>
    </row>
    <row r="100" spans="2:12" s="32" customFormat="1" ht="13.8" outlineLevel="1" x14ac:dyDescent="0.3">
      <c r="B100" s="32" t="s">
        <v>69</v>
      </c>
      <c r="C100" s="45"/>
      <c r="D100" s="45"/>
      <c r="E100" s="113"/>
      <c r="F100" s="111"/>
      <c r="G100" s="111"/>
      <c r="H100" s="111"/>
      <c r="I100" s="111"/>
      <c r="J100" s="110">
        <f ca="1">J99</f>
        <v>0</v>
      </c>
      <c r="L100" s="32" t="s">
        <v>144</v>
      </c>
    </row>
    <row r="101" spans="2:12" s="26" customFormat="1" ht="13.8" outlineLevel="1" x14ac:dyDescent="0.3">
      <c r="F101" s="97"/>
      <c r="G101" s="97"/>
      <c r="H101" s="97"/>
      <c r="I101" s="97"/>
      <c r="J101" s="97"/>
    </row>
    <row r="102" spans="2:12" s="26" customFormat="1" ht="13.8" outlineLevel="1" x14ac:dyDescent="0.3">
      <c r="B102" s="26" t="s">
        <v>141</v>
      </c>
      <c r="E102" s="114"/>
      <c r="F102" s="97">
        <f>F30</f>
        <v>-240</v>
      </c>
      <c r="G102" s="97">
        <f t="shared" ref="G102:J102" si="31">G30</f>
        <v>-240</v>
      </c>
      <c r="H102" s="97">
        <f t="shared" si="31"/>
        <v>-240</v>
      </c>
      <c r="I102" s="97">
        <f t="shared" si="31"/>
        <v>-240</v>
      </c>
      <c r="J102" s="97">
        <f t="shared" si="31"/>
        <v>-240</v>
      </c>
      <c r="L102" s="26" t="s">
        <v>155</v>
      </c>
    </row>
    <row r="103" spans="2:12" s="26" customFormat="1" ht="13.8" outlineLevel="1" x14ac:dyDescent="0.3">
      <c r="B103" s="26" t="s">
        <v>143</v>
      </c>
      <c r="E103" s="114"/>
      <c r="F103" s="97">
        <f>F102</f>
        <v>-240</v>
      </c>
      <c r="G103" s="97">
        <f ca="1">G102+OFFSET(G103,0,-1)</f>
        <v>-480</v>
      </c>
      <c r="H103" s="97">
        <f ca="1">H102+OFFSET(H103,0,-1)</f>
        <v>-720</v>
      </c>
      <c r="I103" s="97">
        <f ca="1">I102+OFFSET(I103,0,-1)</f>
        <v>-960</v>
      </c>
      <c r="J103" s="97">
        <f ca="1">J102+OFFSET(J103,0,-1)</f>
        <v>-1200</v>
      </c>
    </row>
    <row r="104" spans="2:12" s="26" customFormat="1" ht="13.8" outlineLevel="1" x14ac:dyDescent="0.3">
      <c r="B104" s="26" t="s">
        <v>142</v>
      </c>
      <c r="E104" s="114"/>
      <c r="F104" s="97">
        <f>$E94-F103</f>
        <v>-1260</v>
      </c>
      <c r="G104" s="97">
        <f t="shared" ref="G104:J104" ca="1" si="32">$E94-G103</f>
        <v>-1020</v>
      </c>
      <c r="H104" s="97">
        <f t="shared" ca="1" si="32"/>
        <v>-780</v>
      </c>
      <c r="I104" s="97">
        <f t="shared" ca="1" si="32"/>
        <v>-540</v>
      </c>
      <c r="J104" s="97">
        <f t="shared" ca="1" si="32"/>
        <v>-300</v>
      </c>
    </row>
    <row r="105" spans="2:12" s="26" customFormat="1" ht="13.8" outlineLevel="1" x14ac:dyDescent="0.3">
      <c r="B105" s="26" t="s">
        <v>145</v>
      </c>
      <c r="E105" s="114"/>
      <c r="F105" s="111"/>
      <c r="G105" s="111"/>
      <c r="H105" s="111"/>
      <c r="I105" s="111"/>
      <c r="J105" s="97">
        <f>J94</f>
        <v>300</v>
      </c>
    </row>
    <row r="106" spans="2:12" s="26" customFormat="1" ht="13.8" outlineLevel="1" x14ac:dyDescent="0.3">
      <c r="B106" s="26" t="s">
        <v>146</v>
      </c>
      <c r="E106" s="114"/>
      <c r="F106" s="105"/>
      <c r="G106" s="105"/>
      <c r="H106" s="105"/>
      <c r="I106" s="105"/>
      <c r="J106" s="97">
        <f ca="1">SUM(J104:J105)</f>
        <v>0</v>
      </c>
    </row>
    <row r="107" spans="2:12" s="26" customFormat="1" ht="13.8" x14ac:dyDescent="0.3"/>
    <row r="108" spans="2:12" s="26" customFormat="1" ht="13.8" x14ac:dyDescent="0.3"/>
    <row r="109" spans="2:12" s="26" customFormat="1" ht="13.8" x14ac:dyDescent="0.3"/>
    <row r="110" spans="2:12" s="26" customFormat="1" ht="13.8" x14ac:dyDescent="0.3"/>
    <row r="111" spans="2:12" s="26" customFormat="1" ht="13.8" x14ac:dyDescent="0.3"/>
    <row r="112" spans="2:12" s="26" customFormat="1" ht="13.8" x14ac:dyDescent="0.3"/>
    <row r="113" s="26" customFormat="1" ht="13.8"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row r="186" s="26" customFormat="1" ht="13.8" x14ac:dyDescent="0.3"/>
    <row r="187" s="26" customFormat="1" ht="13.8" x14ac:dyDescent="0.3"/>
    <row r="188" s="26" customFormat="1" ht="13.8" x14ac:dyDescent="0.3"/>
    <row r="189" s="26" customFormat="1" ht="13.8" x14ac:dyDescent="0.3"/>
    <row r="190" s="26" customFormat="1" ht="13.8" x14ac:dyDescent="0.3"/>
    <row r="191" s="26" customFormat="1" ht="13.8" x14ac:dyDescent="0.3"/>
    <row r="192" s="26" customFormat="1" ht="13.8" x14ac:dyDescent="0.3"/>
    <row r="193" s="26" customFormat="1" ht="13.8" x14ac:dyDescent="0.3"/>
    <row r="194" s="26" customFormat="1" ht="13.8" x14ac:dyDescent="0.3"/>
  </sheetData>
  <conditionalFormatting sqref="E89">
    <cfRule type="expression" dxfId="6" priority="3">
      <formula>$E$89=FALSE</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D42F3-CD09-458B-B24D-413C613CF193}">
  <dimension ref="B1:O194"/>
  <sheetViews>
    <sheetView showGridLines="0" zoomScale="90" zoomScaleNormal="90" workbookViewId="0">
      <pane ySplit="4" topLeftCell="A5" activePane="bottomLeft" state="frozen"/>
      <selection sqref="A1:XFD1"/>
      <selection pane="bottomLeft" activeCell="A5" sqref="A5"/>
    </sheetView>
  </sheetViews>
  <sheetFormatPr defaultRowHeight="14.4" outlineLevelRow="1" x14ac:dyDescent="0.3"/>
  <cols>
    <col min="1" max="1" width="2.21875" customWidth="1"/>
    <col min="2" max="2" width="33.6640625" customWidth="1"/>
    <col min="3" max="3" width="7.33203125" customWidth="1"/>
    <col min="4" max="4" width="1.5546875" customWidth="1"/>
    <col min="5" max="5" width="10.33203125" bestFit="1" customWidth="1"/>
  </cols>
  <sheetData>
    <row r="1" spans="2:15" ht="8.4" customHeight="1" x14ac:dyDescent="0.3"/>
    <row r="2" spans="2:15" ht="15.6" x14ac:dyDescent="0.3">
      <c r="B2" s="14" t="s">
        <v>89</v>
      </c>
      <c r="C2" s="89"/>
      <c r="D2" s="89"/>
      <c r="E2" s="90"/>
      <c r="F2" s="22"/>
      <c r="G2" s="22"/>
      <c r="H2" s="22"/>
      <c r="I2" s="22"/>
      <c r="J2" s="16" t="s">
        <v>204</v>
      </c>
    </row>
    <row r="3" spans="2:15" x14ac:dyDescent="0.3">
      <c r="B3" s="23"/>
      <c r="C3" s="23"/>
      <c r="D3" s="23"/>
      <c r="E3" s="24"/>
      <c r="F3" s="24"/>
    </row>
    <row r="4" spans="2:15" x14ac:dyDescent="0.3">
      <c r="B4" s="25" t="s">
        <v>1</v>
      </c>
      <c r="C4" s="25"/>
      <c r="D4" s="25"/>
      <c r="E4" s="22"/>
      <c r="F4" s="22"/>
    </row>
    <row r="5" spans="2:15" s="2" customFormat="1" x14ac:dyDescent="0.3">
      <c r="B5" s="87" t="s">
        <v>14</v>
      </c>
      <c r="C5" s="88"/>
      <c r="D5" s="87"/>
      <c r="E5" s="88"/>
      <c r="F5" s="88"/>
      <c r="G5" s="88"/>
      <c r="H5" s="88"/>
      <c r="I5" s="88"/>
      <c r="J5" s="88"/>
      <c r="K5" s="30"/>
      <c r="L5" s="30"/>
      <c r="M5" s="9"/>
      <c r="N5" s="9"/>
      <c r="O5" s="12"/>
    </row>
    <row r="6" spans="2:15" outlineLevel="1" x14ac:dyDescent="0.3">
      <c r="B6" s="26"/>
      <c r="C6" s="26"/>
      <c r="D6" s="26"/>
      <c r="E6" s="31"/>
      <c r="F6" s="31"/>
      <c r="G6" s="26"/>
      <c r="H6" s="26"/>
      <c r="I6" s="26"/>
      <c r="J6" s="26"/>
      <c r="K6" s="26"/>
      <c r="L6" s="26"/>
    </row>
    <row r="7" spans="2:15" outlineLevel="1" x14ac:dyDescent="0.3">
      <c r="B7" s="26" t="s">
        <v>51</v>
      </c>
      <c r="C7" s="26"/>
      <c r="D7" s="26"/>
      <c r="E7" s="115">
        <f>'Invoer Scenario Basis'!E7</f>
        <v>2026</v>
      </c>
      <c r="F7" s="27"/>
      <c r="G7" s="26"/>
      <c r="H7" s="26"/>
      <c r="I7" s="26"/>
      <c r="J7" s="26"/>
      <c r="K7" s="26"/>
      <c r="L7" s="26" t="s">
        <v>81</v>
      </c>
    </row>
    <row r="8" spans="2:15" outlineLevel="1" x14ac:dyDescent="0.3">
      <c r="B8" s="26" t="s">
        <v>15</v>
      </c>
      <c r="C8" s="26"/>
      <c r="D8" s="26"/>
      <c r="E8" s="79">
        <v>0.15</v>
      </c>
      <c r="F8" s="27"/>
      <c r="G8" s="26"/>
      <c r="H8" s="26"/>
      <c r="I8" s="66" t="s">
        <v>148</v>
      </c>
      <c r="J8" s="26"/>
      <c r="K8" s="26"/>
      <c r="L8" s="26"/>
    </row>
    <row r="9" spans="2:15" outlineLevel="1" x14ac:dyDescent="0.3">
      <c r="B9" s="26" t="s">
        <v>74</v>
      </c>
      <c r="C9" s="26"/>
      <c r="D9" s="26"/>
      <c r="E9" s="44">
        <f>J11-E11</f>
        <v>5</v>
      </c>
      <c r="F9" s="27"/>
      <c r="G9" s="26"/>
      <c r="H9" s="26"/>
      <c r="I9" s="26"/>
      <c r="J9" s="26"/>
      <c r="K9" s="26"/>
      <c r="L9" s="26" t="s">
        <v>216</v>
      </c>
    </row>
    <row r="10" spans="2:15" x14ac:dyDescent="0.3">
      <c r="B10" s="26"/>
      <c r="C10" s="26"/>
      <c r="D10" s="26"/>
      <c r="E10" s="27"/>
      <c r="F10" s="27"/>
      <c r="G10" s="26"/>
      <c r="H10" s="26"/>
      <c r="I10" s="26"/>
      <c r="J10" s="26"/>
      <c r="K10" s="26"/>
      <c r="L10" s="26"/>
    </row>
    <row r="11" spans="2:15" s="2" customFormat="1" x14ac:dyDescent="0.3">
      <c r="B11" s="87" t="s">
        <v>196</v>
      </c>
      <c r="C11" s="88"/>
      <c r="D11" s="87"/>
      <c r="E11" s="88">
        <f>E19</f>
        <v>2026</v>
      </c>
      <c r="F11" s="88">
        <f t="shared" ref="F11:J11" si="0">F19</f>
        <v>2027</v>
      </c>
      <c r="G11" s="88">
        <f t="shared" si="0"/>
        <v>2028</v>
      </c>
      <c r="H11" s="88">
        <f t="shared" si="0"/>
        <v>2029</v>
      </c>
      <c r="I11" s="88">
        <f t="shared" si="0"/>
        <v>2030</v>
      </c>
      <c r="J11" s="88">
        <f t="shared" si="0"/>
        <v>2031</v>
      </c>
      <c r="K11" s="30"/>
      <c r="L11" s="36"/>
      <c r="M11" s="9"/>
      <c r="N11" s="9"/>
      <c r="O11" s="12"/>
    </row>
    <row r="12" spans="2:15" s="17" customFormat="1" outlineLevel="1" x14ac:dyDescent="0.3">
      <c r="B12" s="33"/>
      <c r="C12" s="73"/>
      <c r="D12" s="33"/>
      <c r="E12" s="74"/>
      <c r="F12" s="74"/>
      <c r="G12" s="74"/>
      <c r="H12" s="74"/>
      <c r="I12" s="74"/>
      <c r="J12" s="74"/>
      <c r="K12" s="73"/>
      <c r="L12" s="73"/>
      <c r="M12" s="75"/>
      <c r="N12" s="75"/>
      <c r="O12" s="75"/>
    </row>
    <row r="13" spans="2:15" s="17" customFormat="1" outlineLevel="1" x14ac:dyDescent="0.3">
      <c r="B13" s="33" t="s">
        <v>177</v>
      </c>
      <c r="C13" s="73"/>
      <c r="D13" s="33"/>
      <c r="E13" s="92"/>
      <c r="F13" s="91">
        <v>-60</v>
      </c>
      <c r="G13" s="91">
        <v>-60</v>
      </c>
      <c r="H13" s="91">
        <v>-60</v>
      </c>
      <c r="I13" s="91">
        <v>-60</v>
      </c>
      <c r="J13" s="91">
        <v>-60</v>
      </c>
      <c r="K13" s="73"/>
      <c r="L13" s="26" t="s">
        <v>179</v>
      </c>
      <c r="M13" s="75"/>
      <c r="N13" s="75"/>
      <c r="O13" s="75"/>
    </row>
    <row r="14" spans="2:15" s="17" customFormat="1" outlineLevel="1" x14ac:dyDescent="0.3">
      <c r="B14" s="33" t="s">
        <v>178</v>
      </c>
      <c r="C14" s="73"/>
      <c r="D14" s="33"/>
      <c r="E14" s="92"/>
      <c r="F14" s="92"/>
      <c r="G14" s="92"/>
      <c r="H14" s="92"/>
      <c r="I14" s="92"/>
      <c r="J14" s="93">
        <v>50</v>
      </c>
      <c r="K14" s="73"/>
      <c r="L14" s="26" t="s">
        <v>183</v>
      </c>
      <c r="M14" s="75"/>
      <c r="N14" s="75"/>
      <c r="O14" s="75"/>
    </row>
    <row r="15" spans="2:15" s="17" customFormat="1" outlineLevel="1" x14ac:dyDescent="0.3">
      <c r="B15" s="33" t="s">
        <v>180</v>
      </c>
      <c r="C15" s="73"/>
      <c r="D15" s="33"/>
      <c r="E15" s="92"/>
      <c r="F15" s="92"/>
      <c r="G15" s="92"/>
      <c r="H15" s="92"/>
      <c r="I15" s="92"/>
      <c r="J15" s="93">
        <v>10</v>
      </c>
      <c r="K15" s="73"/>
      <c r="L15" s="26" t="s">
        <v>181</v>
      </c>
      <c r="M15" s="75"/>
      <c r="N15" s="75"/>
      <c r="O15" s="75"/>
    </row>
    <row r="16" spans="2:15" s="17" customFormat="1" outlineLevel="1" x14ac:dyDescent="0.3">
      <c r="B16" s="33" t="s">
        <v>182</v>
      </c>
      <c r="C16" s="73"/>
      <c r="D16" s="33"/>
      <c r="E16" s="93">
        <v>450</v>
      </c>
      <c r="F16" s="92"/>
      <c r="G16" s="92"/>
      <c r="H16" s="92"/>
      <c r="I16" s="92"/>
      <c r="J16" s="92"/>
      <c r="K16" s="73"/>
      <c r="L16" s="26" t="s">
        <v>184</v>
      </c>
      <c r="M16" s="75"/>
      <c r="N16" s="75"/>
      <c r="O16" s="75"/>
    </row>
    <row r="17" spans="2:15" s="17" customFormat="1" outlineLevel="1" x14ac:dyDescent="0.3">
      <c r="B17" s="33" t="s">
        <v>185</v>
      </c>
      <c r="C17" s="73"/>
      <c r="D17" s="33"/>
      <c r="E17" s="93">
        <v>150</v>
      </c>
      <c r="F17" s="92"/>
      <c r="G17" s="92"/>
      <c r="H17" s="92"/>
      <c r="I17" s="92"/>
      <c r="J17" s="92"/>
      <c r="K17" s="73"/>
      <c r="L17" s="26" t="s">
        <v>186</v>
      </c>
      <c r="M17" s="75"/>
      <c r="N17" s="75"/>
      <c r="O17" s="75"/>
    </row>
    <row r="18" spans="2:15" s="17" customFormat="1" x14ac:dyDescent="0.3">
      <c r="B18" s="33"/>
      <c r="C18" s="33"/>
      <c r="D18" s="33"/>
      <c r="E18" s="94"/>
      <c r="F18" s="94"/>
      <c r="G18" s="95"/>
      <c r="H18" s="95"/>
      <c r="I18" s="95"/>
      <c r="J18" s="95"/>
      <c r="K18" s="33"/>
      <c r="L18" s="26"/>
    </row>
    <row r="19" spans="2:15" s="2" customFormat="1" x14ac:dyDescent="0.3">
      <c r="B19" s="87" t="s">
        <v>197</v>
      </c>
      <c r="C19" s="88"/>
      <c r="D19" s="87"/>
      <c r="E19" s="88">
        <f>E7</f>
        <v>2026</v>
      </c>
      <c r="F19" s="88">
        <f>$E19+COLUMN()-COLUMN($E19)</f>
        <v>2027</v>
      </c>
      <c r="G19" s="88">
        <f t="shared" ref="G19:J19" si="1">$E19+COLUMN()-COLUMN($E19)</f>
        <v>2028</v>
      </c>
      <c r="H19" s="88">
        <f t="shared" si="1"/>
        <v>2029</v>
      </c>
      <c r="I19" s="88">
        <f t="shared" si="1"/>
        <v>2030</v>
      </c>
      <c r="J19" s="88">
        <f t="shared" si="1"/>
        <v>2031</v>
      </c>
      <c r="K19" s="30"/>
      <c r="L19" s="36"/>
      <c r="M19" s="9"/>
      <c r="N19" s="9"/>
      <c r="O19" s="12"/>
    </row>
    <row r="20" spans="2:15" s="26" customFormat="1" ht="13.8" x14ac:dyDescent="0.3">
      <c r="E20" s="96"/>
      <c r="F20" s="96"/>
      <c r="G20" s="97"/>
      <c r="H20" s="97"/>
      <c r="I20" s="97"/>
      <c r="J20" s="97"/>
    </row>
    <row r="21" spans="2:15" s="28" customFormat="1" ht="13.8" x14ac:dyDescent="0.3">
      <c r="B21" s="28" t="s">
        <v>150</v>
      </c>
      <c r="E21" s="104"/>
      <c r="F21" s="99">
        <v>1225</v>
      </c>
      <c r="G21" s="99">
        <v>1225</v>
      </c>
      <c r="H21" s="99">
        <v>1225</v>
      </c>
      <c r="I21" s="99">
        <v>1225</v>
      </c>
      <c r="J21" s="99">
        <v>1225</v>
      </c>
      <c r="L21" s="28" t="s">
        <v>19</v>
      </c>
    </row>
    <row r="22" spans="2:15" s="26" customFormat="1" ht="13.8" x14ac:dyDescent="0.3">
      <c r="E22" s="95"/>
      <c r="F22" s="95"/>
      <c r="G22" s="97"/>
      <c r="H22" s="97"/>
      <c r="I22" s="97"/>
      <c r="J22" s="97"/>
    </row>
    <row r="23" spans="2:15" s="26" customFormat="1" ht="13.8" x14ac:dyDescent="0.3">
      <c r="B23" s="37" t="s">
        <v>20</v>
      </c>
      <c r="C23" s="79">
        <v>-0.25</v>
      </c>
      <c r="E23" s="105"/>
      <c r="F23" s="97">
        <f>$C23*F21</f>
        <v>-306.25</v>
      </c>
      <c r="G23" s="97">
        <f t="shared" ref="G23:J23" si="2">$C23*G21</f>
        <v>-306.25</v>
      </c>
      <c r="H23" s="97">
        <f t="shared" si="2"/>
        <v>-306.25</v>
      </c>
      <c r="I23" s="97">
        <f t="shared" si="2"/>
        <v>-306.25</v>
      </c>
      <c r="J23" s="97">
        <f t="shared" si="2"/>
        <v>-306.25</v>
      </c>
      <c r="L23" s="26" t="s">
        <v>18</v>
      </c>
    </row>
    <row r="24" spans="2:15" s="26" customFormat="1" ht="13.8" x14ac:dyDescent="0.3">
      <c r="B24" s="37" t="s">
        <v>54</v>
      </c>
      <c r="E24" s="105"/>
      <c r="F24" s="91"/>
      <c r="G24" s="91"/>
      <c r="H24" s="91"/>
      <c r="I24" s="91"/>
      <c r="J24" s="91">
        <v>50</v>
      </c>
      <c r="L24" s="35" t="s">
        <v>27</v>
      </c>
    </row>
    <row r="25" spans="2:15" s="28" customFormat="1" ht="13.8" x14ac:dyDescent="0.3">
      <c r="B25" s="28" t="s">
        <v>21</v>
      </c>
      <c r="E25" s="106"/>
      <c r="F25" s="101">
        <f>SUM(F23:F24)</f>
        <v>-306.25</v>
      </c>
      <c r="G25" s="101">
        <f t="shared" ref="G25:J25" si="3">SUM(G23:G24)</f>
        <v>-306.25</v>
      </c>
      <c r="H25" s="101">
        <f t="shared" si="3"/>
        <v>-306.25</v>
      </c>
      <c r="I25" s="101">
        <f t="shared" si="3"/>
        <v>-306.25</v>
      </c>
      <c r="J25" s="101">
        <f t="shared" si="3"/>
        <v>-256.25</v>
      </c>
    </row>
    <row r="26" spans="2:15" s="26" customFormat="1" ht="13.8" x14ac:dyDescent="0.3">
      <c r="E26" s="97"/>
      <c r="F26" s="97"/>
      <c r="G26" s="97"/>
      <c r="H26" s="97"/>
      <c r="I26" s="97"/>
      <c r="J26" s="97"/>
    </row>
    <row r="27" spans="2:15" s="26" customFormat="1" ht="13.8" x14ac:dyDescent="0.3">
      <c r="B27" s="37" t="s">
        <v>22</v>
      </c>
      <c r="C27" s="79">
        <v>-0.05</v>
      </c>
      <c r="E27" s="105"/>
      <c r="F27" s="97">
        <f>$C27*F21</f>
        <v>-61.25</v>
      </c>
      <c r="G27" s="97">
        <f t="shared" ref="G27:J27" si="4">$C27*G21</f>
        <v>-61.25</v>
      </c>
      <c r="H27" s="97">
        <f t="shared" si="4"/>
        <v>-61.25</v>
      </c>
      <c r="I27" s="97">
        <f t="shared" si="4"/>
        <v>-61.25</v>
      </c>
      <c r="J27" s="97">
        <f t="shared" si="4"/>
        <v>-61.25</v>
      </c>
      <c r="L27" s="26" t="s">
        <v>18</v>
      </c>
    </row>
    <row r="28" spans="2:15" s="26" customFormat="1" ht="13.8" x14ac:dyDescent="0.3">
      <c r="B28" s="37" t="s">
        <v>55</v>
      </c>
      <c r="E28" s="105"/>
      <c r="F28" s="91"/>
      <c r="G28" s="91">
        <v>20</v>
      </c>
      <c r="H28" s="91"/>
      <c r="I28" s="91"/>
      <c r="J28" s="91"/>
      <c r="L28" s="35" t="s">
        <v>27</v>
      </c>
    </row>
    <row r="29" spans="2:15" s="26" customFormat="1" ht="13.8" x14ac:dyDescent="0.3">
      <c r="B29" s="37" t="s">
        <v>149</v>
      </c>
      <c r="E29" s="102">
        <v>-600</v>
      </c>
      <c r="F29" s="105"/>
      <c r="G29" s="105"/>
      <c r="H29" s="105"/>
      <c r="I29" s="105"/>
      <c r="J29" s="105"/>
      <c r="L29" s="26" t="s">
        <v>23</v>
      </c>
    </row>
    <row r="30" spans="2:15" s="26" customFormat="1" ht="13.8" x14ac:dyDescent="0.3">
      <c r="B30" s="37" t="s">
        <v>174</v>
      </c>
      <c r="E30" s="105"/>
      <c r="F30" s="95">
        <f>F96</f>
        <v>-230</v>
      </c>
      <c r="G30" s="95">
        <f>G96</f>
        <v>-230</v>
      </c>
      <c r="H30" s="95">
        <f>H96</f>
        <v>-230</v>
      </c>
      <c r="I30" s="95">
        <f>I96</f>
        <v>-230</v>
      </c>
      <c r="J30" s="95">
        <f>J96</f>
        <v>-230</v>
      </c>
      <c r="L30" s="26" t="s">
        <v>173</v>
      </c>
    </row>
    <row r="31" spans="2:15" s="26" customFormat="1" ht="13.8" x14ac:dyDescent="0.3">
      <c r="B31" s="37" t="s">
        <v>175</v>
      </c>
      <c r="E31" s="105"/>
      <c r="F31" s="95">
        <f>-F13</f>
        <v>60</v>
      </c>
      <c r="G31" s="95">
        <f t="shared" ref="G31:J31" si="5">-G13</f>
        <v>60</v>
      </c>
      <c r="H31" s="95">
        <f t="shared" si="5"/>
        <v>60</v>
      </c>
      <c r="I31" s="95">
        <f t="shared" si="5"/>
        <v>60</v>
      </c>
      <c r="J31" s="95">
        <f t="shared" si="5"/>
        <v>60</v>
      </c>
      <c r="L31" s="26" t="str">
        <f>"Kopie regel "&amp;ROW(L13)&amp;". Positieve niet gerealiseserde afschrijvingslasten oude investering"</f>
        <v>Kopie regel 13. Positieve niet gerealiseserde afschrijvingslasten oude investering</v>
      </c>
    </row>
    <row r="32" spans="2:15" s="28" customFormat="1" ht="13.8" x14ac:dyDescent="0.3">
      <c r="B32" s="28" t="s">
        <v>24</v>
      </c>
      <c r="E32" s="101">
        <f>SUM(E27:E31)</f>
        <v>-600</v>
      </c>
      <c r="F32" s="101">
        <f t="shared" ref="F32:J32" si="6">SUM(F27:F31)</f>
        <v>-231.25</v>
      </c>
      <c r="G32" s="101">
        <f t="shared" si="6"/>
        <v>-211.25</v>
      </c>
      <c r="H32" s="101">
        <f t="shared" si="6"/>
        <v>-231.25</v>
      </c>
      <c r="I32" s="101">
        <f t="shared" si="6"/>
        <v>-231.25</v>
      </c>
      <c r="J32" s="101">
        <f t="shared" si="6"/>
        <v>-231.25</v>
      </c>
    </row>
    <row r="33" spans="2:15" s="26" customFormat="1" ht="13.8" x14ac:dyDescent="0.3">
      <c r="E33" s="97"/>
      <c r="F33" s="97"/>
      <c r="G33" s="97"/>
      <c r="H33" s="97"/>
      <c r="I33" s="97"/>
      <c r="J33" s="97"/>
    </row>
    <row r="34" spans="2:15" s="26" customFormat="1" ht="13.8" x14ac:dyDescent="0.3">
      <c r="B34" s="76" t="s">
        <v>188</v>
      </c>
      <c r="E34" s="105"/>
      <c r="F34" s="107"/>
      <c r="G34" s="107"/>
      <c r="H34" s="107"/>
      <c r="I34" s="107"/>
      <c r="J34" s="95">
        <f ca="1">J106</f>
        <v>0</v>
      </c>
      <c r="L34" s="35" t="s">
        <v>156</v>
      </c>
    </row>
    <row r="35" spans="2:15" s="26" customFormat="1" ht="13.8" x14ac:dyDescent="0.3">
      <c r="B35" s="76" t="s">
        <v>189</v>
      </c>
      <c r="E35" s="97">
        <f>E17</f>
        <v>150</v>
      </c>
      <c r="F35" s="107"/>
      <c r="G35" s="107"/>
      <c r="H35" s="107"/>
      <c r="I35" s="107"/>
      <c r="J35" s="107"/>
      <c r="L35" s="35" t="str">
        <f>"Kopie regel "&amp;ROW(L17)&amp;". Verkoopresultaat oude investering jaat 0 (= inschatting verkoopopbrengst -/- boekwaarde jaar 0)"</f>
        <v>Kopie regel 17. Verkoopresultaat oude investering jaat 0 (= inschatting verkoopopbrengst -/- boekwaarde jaar 0)</v>
      </c>
    </row>
    <row r="36" spans="2:15" s="26" customFormat="1" ht="13.8" x14ac:dyDescent="0.3">
      <c r="B36" s="76" t="s">
        <v>190</v>
      </c>
      <c r="E36" s="105"/>
      <c r="F36" s="107"/>
      <c r="G36" s="107"/>
      <c r="H36" s="107"/>
      <c r="I36" s="107"/>
      <c r="J36" s="95">
        <f>-J15</f>
        <v>-10</v>
      </c>
      <c r="L36" s="35" t="str">
        <f>"Kopie regel "&amp;ROW(L15)&amp;". Verkoopresultaat oude investering laatste jaar (= inschatting verkoopopbrengst -/- boekwaarde)"</f>
        <v>Kopie regel 15. Verkoopresultaat oude investering laatste jaar (= inschatting verkoopopbrengst -/- boekwaarde)</v>
      </c>
    </row>
    <row r="37" spans="2:15" s="26" customFormat="1" ht="13.8" x14ac:dyDescent="0.3">
      <c r="B37" s="37"/>
      <c r="E37" s="97"/>
      <c r="F37" s="95"/>
      <c r="G37" s="95"/>
      <c r="H37" s="95"/>
      <c r="I37" s="95"/>
      <c r="J37" s="95"/>
      <c r="L37" s="35"/>
    </row>
    <row r="38" spans="2:15" s="28" customFormat="1" ht="13.8" x14ac:dyDescent="0.3">
      <c r="B38" s="28" t="s">
        <v>151</v>
      </c>
      <c r="E38" s="100">
        <f>E21+E25+SUM(E32:E37)</f>
        <v>-450</v>
      </c>
      <c r="F38" s="100">
        <f t="shared" ref="F38:J38" si="7">F21+F25+SUM(F32:F37)</f>
        <v>687.5</v>
      </c>
      <c r="G38" s="100">
        <f t="shared" si="7"/>
        <v>707.5</v>
      </c>
      <c r="H38" s="100">
        <f t="shared" si="7"/>
        <v>687.5</v>
      </c>
      <c r="I38" s="100">
        <f t="shared" si="7"/>
        <v>687.5</v>
      </c>
      <c r="J38" s="100">
        <f t="shared" ca="1" si="7"/>
        <v>727.5</v>
      </c>
    </row>
    <row r="39" spans="2:15" s="26" customFormat="1" ht="13.8" x14ac:dyDescent="0.3">
      <c r="E39" s="97"/>
      <c r="F39" s="97"/>
      <c r="G39" s="97"/>
      <c r="H39" s="97"/>
      <c r="I39" s="97"/>
      <c r="J39" s="97"/>
    </row>
    <row r="40" spans="2:15" s="26" customFormat="1" ht="13.8" x14ac:dyDescent="0.3">
      <c r="B40" s="26" t="s">
        <v>0</v>
      </c>
      <c r="C40" s="79">
        <v>-0.25</v>
      </c>
      <c r="E40" s="97">
        <f>$C40*E38</f>
        <v>112.5</v>
      </c>
      <c r="F40" s="97">
        <f>$C40*F38</f>
        <v>-171.875</v>
      </c>
      <c r="G40" s="97">
        <f t="shared" ref="G40:J40" si="8">$C40*G38</f>
        <v>-176.875</v>
      </c>
      <c r="H40" s="97">
        <f t="shared" si="8"/>
        <v>-171.875</v>
      </c>
      <c r="I40" s="97">
        <f t="shared" si="8"/>
        <v>-171.875</v>
      </c>
      <c r="J40" s="97">
        <f t="shared" ca="1" si="8"/>
        <v>-181.875</v>
      </c>
      <c r="L40" s="26" t="s">
        <v>17</v>
      </c>
    </row>
    <row r="41" spans="2:15" s="28" customFormat="1" thickBot="1" x14ac:dyDescent="0.35">
      <c r="B41" s="28" t="s">
        <v>26</v>
      </c>
      <c r="E41" s="103">
        <f>SUM(E38:E40)</f>
        <v>-337.5</v>
      </c>
      <c r="F41" s="103">
        <f>SUM(F38:F40)</f>
        <v>515.625</v>
      </c>
      <c r="G41" s="103">
        <f t="shared" ref="G41:J41" si="9">SUM(G38:G40)</f>
        <v>530.625</v>
      </c>
      <c r="H41" s="103">
        <f t="shared" si="9"/>
        <v>515.625</v>
      </c>
      <c r="I41" s="103">
        <f t="shared" si="9"/>
        <v>515.625</v>
      </c>
      <c r="J41" s="103">
        <f t="shared" ca="1" si="9"/>
        <v>545.625</v>
      </c>
    </row>
    <row r="42" spans="2:15" s="26" customFormat="1" thickTop="1" x14ac:dyDescent="0.3">
      <c r="E42" s="97"/>
      <c r="F42" s="97"/>
      <c r="G42" s="97"/>
      <c r="H42" s="97"/>
      <c r="I42" s="97"/>
      <c r="J42" s="97"/>
    </row>
    <row r="43" spans="2:15" s="2" customFormat="1" x14ac:dyDescent="0.3">
      <c r="B43" s="87" t="s">
        <v>198</v>
      </c>
      <c r="C43" s="88"/>
      <c r="D43" s="87"/>
      <c r="E43" s="88">
        <f t="shared" ref="E43:J43" si="10">E19</f>
        <v>2026</v>
      </c>
      <c r="F43" s="88">
        <f t="shared" si="10"/>
        <v>2027</v>
      </c>
      <c r="G43" s="88">
        <f t="shared" si="10"/>
        <v>2028</v>
      </c>
      <c r="H43" s="88">
        <f t="shared" si="10"/>
        <v>2029</v>
      </c>
      <c r="I43" s="88">
        <f t="shared" si="10"/>
        <v>2030</v>
      </c>
      <c r="J43" s="88">
        <f t="shared" si="10"/>
        <v>2031</v>
      </c>
      <c r="K43" s="30"/>
      <c r="L43" s="36"/>
      <c r="M43" s="9"/>
      <c r="N43" s="9"/>
      <c r="O43" s="12"/>
    </row>
    <row r="44" spans="2:15" s="26" customFormat="1" ht="13.8" x14ac:dyDescent="0.3">
      <c r="E44" s="96"/>
      <c r="F44" s="96"/>
      <c r="G44" s="97"/>
      <c r="H44" s="97"/>
      <c r="I44" s="97"/>
      <c r="J44" s="97"/>
    </row>
    <row r="45" spans="2:15" s="28" customFormat="1" ht="13.8" x14ac:dyDescent="0.3">
      <c r="B45" s="28" t="s">
        <v>26</v>
      </c>
      <c r="E45" s="100">
        <f>E41</f>
        <v>-337.5</v>
      </c>
      <c r="F45" s="100">
        <f t="shared" ref="F45:J45" si="11">F41</f>
        <v>515.625</v>
      </c>
      <c r="G45" s="100">
        <f t="shared" si="11"/>
        <v>530.625</v>
      </c>
      <c r="H45" s="100">
        <f t="shared" si="11"/>
        <v>515.625</v>
      </c>
      <c r="I45" s="100">
        <f t="shared" si="11"/>
        <v>515.625</v>
      </c>
      <c r="J45" s="100">
        <f t="shared" ca="1" si="11"/>
        <v>545.625</v>
      </c>
    </row>
    <row r="46" spans="2:15" s="26" customFormat="1" ht="13.8" x14ac:dyDescent="0.3">
      <c r="E46" s="97"/>
      <c r="F46" s="97"/>
      <c r="G46" s="97"/>
      <c r="H46" s="97"/>
      <c r="I46" s="97"/>
      <c r="J46" s="97"/>
    </row>
    <row r="47" spans="2:15" s="26" customFormat="1" ht="13.8" x14ac:dyDescent="0.3">
      <c r="B47" s="26" t="s">
        <v>29</v>
      </c>
      <c r="E47" s="105"/>
      <c r="F47" s="97">
        <f>-F30-F31</f>
        <v>170</v>
      </c>
      <c r="G47" s="97">
        <f t="shared" ref="G47:J47" si="12">-G30-G31</f>
        <v>170</v>
      </c>
      <c r="H47" s="97">
        <f t="shared" si="12"/>
        <v>170</v>
      </c>
      <c r="I47" s="97">
        <f t="shared" si="12"/>
        <v>170</v>
      </c>
      <c r="J47" s="97">
        <f t="shared" si="12"/>
        <v>170</v>
      </c>
      <c r="L47" s="26" t="s">
        <v>199</v>
      </c>
    </row>
    <row r="48" spans="2:15" s="26" customFormat="1" ht="13.8" x14ac:dyDescent="0.3">
      <c r="B48" s="26" t="s">
        <v>152</v>
      </c>
      <c r="E48" s="97">
        <f>-SUM(E34:E36)</f>
        <v>-150</v>
      </c>
      <c r="F48" s="105">
        <f t="shared" ref="F48:J48" si="13">-SUM(F34:F36)</f>
        <v>0</v>
      </c>
      <c r="G48" s="105">
        <f t="shared" si="13"/>
        <v>0</v>
      </c>
      <c r="H48" s="105">
        <f t="shared" si="13"/>
        <v>0</v>
      </c>
      <c r="I48" s="105">
        <f t="shared" si="13"/>
        <v>0</v>
      </c>
      <c r="J48" s="97">
        <f t="shared" ca="1" si="13"/>
        <v>10</v>
      </c>
      <c r="L48" s="26" t="s">
        <v>200</v>
      </c>
    </row>
    <row r="49" spans="2:12" s="26" customFormat="1" ht="13.8" x14ac:dyDescent="0.3">
      <c r="B49" s="26" t="s">
        <v>30</v>
      </c>
      <c r="E49" s="102">
        <v>-40</v>
      </c>
      <c r="F49" s="102">
        <v>-10</v>
      </c>
      <c r="G49" s="102"/>
      <c r="H49" s="102"/>
      <c r="I49" s="102"/>
      <c r="J49" s="102">
        <v>50</v>
      </c>
      <c r="L49" s="26" t="s">
        <v>153</v>
      </c>
    </row>
    <row r="50" spans="2:12" s="26" customFormat="1" ht="13.8" x14ac:dyDescent="0.3">
      <c r="E50" s="97"/>
      <c r="F50" s="97"/>
      <c r="G50" s="97"/>
      <c r="H50" s="97"/>
      <c r="I50" s="97"/>
      <c r="J50" s="97"/>
      <c r="L50" s="26" t="s">
        <v>154</v>
      </c>
    </row>
    <row r="51" spans="2:12" s="26" customFormat="1" ht="13.8" x14ac:dyDescent="0.3">
      <c r="B51" s="26" t="s">
        <v>195</v>
      </c>
      <c r="E51" s="102">
        <v>-1600</v>
      </c>
      <c r="F51" s="105"/>
      <c r="G51" s="105"/>
      <c r="H51" s="105"/>
      <c r="I51" s="105"/>
      <c r="J51" s="105"/>
      <c r="L51" s="26" t="s">
        <v>194</v>
      </c>
    </row>
    <row r="52" spans="2:12" s="26" customFormat="1" ht="13.8" x14ac:dyDescent="0.3">
      <c r="B52" s="26" t="s">
        <v>191</v>
      </c>
      <c r="E52" s="105"/>
      <c r="F52" s="105"/>
      <c r="G52" s="105"/>
      <c r="H52" s="105"/>
      <c r="I52" s="105"/>
      <c r="J52" s="102">
        <v>450</v>
      </c>
      <c r="L52" s="26" t="s">
        <v>192</v>
      </c>
    </row>
    <row r="53" spans="2:12" s="26" customFormat="1" ht="13.8" x14ac:dyDescent="0.3">
      <c r="B53" s="26" t="s">
        <v>193</v>
      </c>
      <c r="E53" s="97">
        <f>E16</f>
        <v>450</v>
      </c>
      <c r="F53" s="105"/>
      <c r="G53" s="105"/>
      <c r="H53" s="105"/>
      <c r="I53" s="105"/>
      <c r="J53" s="105"/>
      <c r="L53" s="26" t="str">
        <f>"Kopie regel "&amp;ROW(L16)&amp;". Verkoopopbrengst oude investering jaar 0 als gevolg van nieuwe investering"</f>
        <v>Kopie regel 16. Verkoopopbrengst oude investering jaar 0 als gevolg van nieuwe investering</v>
      </c>
    </row>
    <row r="54" spans="2:12" s="26" customFormat="1" ht="13.8" x14ac:dyDescent="0.3">
      <c r="B54" s="26" t="s">
        <v>187</v>
      </c>
      <c r="E54" s="105"/>
      <c r="F54" s="105"/>
      <c r="G54" s="105"/>
      <c r="H54" s="105"/>
      <c r="I54" s="105"/>
      <c r="J54" s="97">
        <f>-J14</f>
        <v>-50</v>
      </c>
      <c r="L54" s="26" t="str">
        <f>"Kopie regel "&amp;ROW(L14)&amp;". Restwaarde/verkoopopbrengst van oude investering die niet gerealiseerd wordt als gevolg van aanschaf nieuwe investering (en verkoop oude investering op tijdstip 0)"</f>
        <v>Kopie regel 14. Restwaarde/verkoopopbrengst van oude investering die niet gerealiseerd wordt als gevolg van aanschaf nieuwe investering (en verkoop oude investering op tijdstip 0)</v>
      </c>
    </row>
    <row r="55" spans="2:12" s="26" customFormat="1" ht="13.8" x14ac:dyDescent="0.3">
      <c r="E55" s="97"/>
      <c r="F55" s="97"/>
      <c r="G55" s="97"/>
      <c r="H55" s="97"/>
      <c r="I55" s="97"/>
      <c r="J55" s="97"/>
    </row>
    <row r="56" spans="2:12" s="28" customFormat="1" thickBot="1" x14ac:dyDescent="0.35">
      <c r="B56" s="28" t="s">
        <v>31</v>
      </c>
      <c r="E56" s="103">
        <f t="shared" ref="E56:J56" si="14">SUM(E45:E55)</f>
        <v>-1677.5</v>
      </c>
      <c r="F56" s="103">
        <f t="shared" si="14"/>
        <v>675.625</v>
      </c>
      <c r="G56" s="103">
        <f t="shared" si="14"/>
        <v>700.625</v>
      </c>
      <c r="H56" s="103">
        <f t="shared" si="14"/>
        <v>685.625</v>
      </c>
      <c r="I56" s="103">
        <f t="shared" si="14"/>
        <v>685.625</v>
      </c>
      <c r="J56" s="103">
        <f t="shared" ca="1" si="14"/>
        <v>1175.625</v>
      </c>
    </row>
    <row r="57" spans="2:12" s="26" customFormat="1" thickTop="1" x14ac:dyDescent="0.3">
      <c r="E57" s="97"/>
      <c r="F57" s="97"/>
      <c r="G57" s="97"/>
      <c r="H57" s="97"/>
      <c r="I57" s="97"/>
      <c r="J57" s="97"/>
    </row>
    <row r="58" spans="2:12" s="26" customFormat="1" ht="13.8" x14ac:dyDescent="0.3">
      <c r="B58" s="26" t="s">
        <v>35</v>
      </c>
      <c r="E58" s="97">
        <f>E56</f>
        <v>-1677.5</v>
      </c>
      <c r="F58" s="97">
        <f ca="1">F56+OFFSET(F58,0,-1)</f>
        <v>-1001.875</v>
      </c>
      <c r="G58" s="97">
        <f t="shared" ref="G58:J58" ca="1" si="15">G56+OFFSET(G58,0,-1)</f>
        <v>-301.25</v>
      </c>
      <c r="H58" s="97">
        <f t="shared" ca="1" si="15"/>
        <v>384.375</v>
      </c>
      <c r="I58" s="97">
        <f t="shared" ca="1" si="15"/>
        <v>1070</v>
      </c>
      <c r="J58" s="97">
        <f t="shared" ca="1" si="15"/>
        <v>2245.625</v>
      </c>
    </row>
    <row r="59" spans="2:12" s="26" customFormat="1" ht="13.8" x14ac:dyDescent="0.3">
      <c r="B59" s="26" t="s">
        <v>37</v>
      </c>
      <c r="E59" s="97">
        <f t="shared" ref="E59:J59" si="16">E56*E70</f>
        <v>-1677.5</v>
      </c>
      <c r="F59" s="97">
        <f t="shared" si="16"/>
        <v>587.50000000000011</v>
      </c>
      <c r="G59" s="97">
        <f t="shared" si="16"/>
        <v>529.77315689981106</v>
      </c>
      <c r="H59" s="97">
        <f t="shared" si="16"/>
        <v>450.80956686118196</v>
      </c>
      <c r="I59" s="97">
        <f t="shared" si="16"/>
        <v>392.00831900972355</v>
      </c>
      <c r="J59" s="97">
        <f t="shared" ca="1" si="16"/>
        <v>584.49339943505208</v>
      </c>
    </row>
    <row r="60" spans="2:12" s="26" customFormat="1" ht="13.8" x14ac:dyDescent="0.3">
      <c r="B60" s="26" t="s">
        <v>38</v>
      </c>
      <c r="E60" s="97">
        <f>E59</f>
        <v>-1677.5</v>
      </c>
      <c r="F60" s="97">
        <f ca="1">F59+OFFSET(F60,0,-1)</f>
        <v>-1090</v>
      </c>
      <c r="G60" s="97">
        <f t="shared" ref="G60:J60" ca="1" si="17">G59+OFFSET(G60,0,-1)</f>
        <v>-560.22684310018894</v>
      </c>
      <c r="H60" s="97">
        <f t="shared" ca="1" si="17"/>
        <v>-109.41727623900698</v>
      </c>
      <c r="I60" s="97">
        <f t="shared" ca="1" si="17"/>
        <v>282.59104277071657</v>
      </c>
      <c r="J60" s="97">
        <f t="shared" ca="1" si="17"/>
        <v>867.08444220576871</v>
      </c>
    </row>
    <row r="61" spans="2:12" s="26" customFormat="1" ht="13.8" x14ac:dyDescent="0.3">
      <c r="E61" s="97"/>
      <c r="F61" s="97"/>
      <c r="G61" s="97"/>
      <c r="H61" s="97"/>
      <c r="I61" s="97"/>
      <c r="J61" s="97"/>
    </row>
    <row r="62" spans="2:12" s="26" customFormat="1" ht="13.8" x14ac:dyDescent="0.3">
      <c r="B62" s="26" t="s">
        <v>34</v>
      </c>
      <c r="E62" s="97">
        <f ca="1">SUM(E59:J59)</f>
        <v>867.08444220576871</v>
      </c>
      <c r="F62" s="97"/>
      <c r="G62" s="97"/>
      <c r="H62" s="97"/>
      <c r="I62" s="97"/>
      <c r="J62" s="97"/>
    </row>
    <row r="63" spans="2:12" s="26" customFormat="1" ht="13.8" x14ac:dyDescent="0.3">
      <c r="B63" s="26" t="s">
        <v>33</v>
      </c>
      <c r="E63" s="38">
        <f ca="1">E77</f>
        <v>2.439380127620784</v>
      </c>
      <c r="L63" s="26" t="s">
        <v>45</v>
      </c>
    </row>
    <row r="64" spans="2:12" s="26" customFormat="1" ht="13.8" x14ac:dyDescent="0.3">
      <c r="B64" s="26" t="s">
        <v>39</v>
      </c>
      <c r="E64" s="40">
        <f ca="1">E84</f>
        <v>3.2791197812215125</v>
      </c>
      <c r="L64" s="26" t="s">
        <v>46</v>
      </c>
    </row>
    <row r="65" spans="2:15" s="26" customFormat="1" ht="13.8" x14ac:dyDescent="0.3">
      <c r="B65" s="26" t="s">
        <v>40</v>
      </c>
      <c r="E65" s="29">
        <f ca="1">IRR(E56:J56)</f>
        <v>0.33590093687022438</v>
      </c>
      <c r="L65" s="26" t="s">
        <v>50</v>
      </c>
    </row>
    <row r="66" spans="2:15" s="26" customFormat="1" ht="13.8" x14ac:dyDescent="0.3"/>
    <row r="67" spans="2:15" s="2" customFormat="1" x14ac:dyDescent="0.3">
      <c r="B67" s="87" t="s">
        <v>67</v>
      </c>
      <c r="C67" s="88"/>
      <c r="D67" s="87"/>
      <c r="E67" s="88">
        <f t="shared" ref="E67:J67" si="18">E19</f>
        <v>2026</v>
      </c>
      <c r="F67" s="88">
        <f t="shared" si="18"/>
        <v>2027</v>
      </c>
      <c r="G67" s="88">
        <f t="shared" si="18"/>
        <v>2028</v>
      </c>
      <c r="H67" s="88">
        <f t="shared" si="18"/>
        <v>2029</v>
      </c>
      <c r="I67" s="88">
        <f t="shared" si="18"/>
        <v>2030</v>
      </c>
      <c r="J67" s="88">
        <f t="shared" si="18"/>
        <v>2031</v>
      </c>
      <c r="K67" s="30"/>
      <c r="L67" s="36"/>
      <c r="M67" s="9"/>
      <c r="N67" s="9"/>
      <c r="O67" s="12"/>
    </row>
    <row r="68" spans="2:15" s="26" customFormat="1" ht="13.8" outlineLevel="1" x14ac:dyDescent="0.3">
      <c r="E68" s="31"/>
      <c r="F68" s="31"/>
    </row>
    <row r="69" spans="2:15" s="17" customFormat="1" outlineLevel="1" x14ac:dyDescent="0.3">
      <c r="B69" s="33" t="s">
        <v>32</v>
      </c>
      <c r="C69" s="33"/>
      <c r="D69" s="33"/>
      <c r="E69" s="41">
        <f>E67-$E67</f>
        <v>0</v>
      </c>
      <c r="F69" s="41">
        <f t="shared" ref="F69:J69" si="19">F67-$E67</f>
        <v>1</v>
      </c>
      <c r="G69" s="41">
        <f t="shared" si="19"/>
        <v>2</v>
      </c>
      <c r="H69" s="41">
        <f t="shared" si="19"/>
        <v>3</v>
      </c>
      <c r="I69" s="41">
        <f t="shared" si="19"/>
        <v>4</v>
      </c>
      <c r="J69" s="41">
        <f t="shared" si="19"/>
        <v>5</v>
      </c>
      <c r="K69" s="33"/>
      <c r="L69" s="33"/>
    </row>
    <row r="70" spans="2:15" s="26" customFormat="1" ht="13.8" outlineLevel="1" x14ac:dyDescent="0.3">
      <c r="B70" s="26" t="s">
        <v>36</v>
      </c>
      <c r="E70" s="109">
        <f t="shared" ref="E70:J70" si="20">1/(1+$E$8)^E69</f>
        <v>1</v>
      </c>
      <c r="F70" s="109">
        <f t="shared" si="20"/>
        <v>0.86956521739130443</v>
      </c>
      <c r="G70" s="109">
        <f t="shared" si="20"/>
        <v>0.7561436672967865</v>
      </c>
      <c r="H70" s="109">
        <f t="shared" si="20"/>
        <v>0.65751623243198831</v>
      </c>
      <c r="I70" s="109">
        <f t="shared" si="20"/>
        <v>0.57175324559303342</v>
      </c>
      <c r="J70" s="109">
        <f t="shared" si="20"/>
        <v>0.49717673529828987</v>
      </c>
    </row>
    <row r="71" spans="2:15" s="26" customFormat="1" ht="13.8" outlineLevel="1" x14ac:dyDescent="0.3">
      <c r="E71" s="39"/>
      <c r="F71" s="39"/>
      <c r="G71" s="39"/>
      <c r="H71" s="39"/>
      <c r="I71" s="39"/>
      <c r="J71" s="39"/>
    </row>
    <row r="72" spans="2:15" s="26" customFormat="1" ht="13.8" outlineLevel="1" x14ac:dyDescent="0.3">
      <c r="B72" s="26" t="str">
        <f>B58</f>
        <v>Cumulatieve incementele kasstromen</v>
      </c>
      <c r="E72" s="97">
        <f>E58</f>
        <v>-1677.5</v>
      </c>
      <c r="F72" s="97">
        <f t="shared" ref="F72:J72" ca="1" si="21">F58</f>
        <v>-1001.875</v>
      </c>
      <c r="G72" s="97">
        <f t="shared" ca="1" si="21"/>
        <v>-301.25</v>
      </c>
      <c r="H72" s="97">
        <f t="shared" ca="1" si="21"/>
        <v>384.375</v>
      </c>
      <c r="I72" s="97">
        <f t="shared" ca="1" si="21"/>
        <v>1070</v>
      </c>
      <c r="J72" s="97">
        <f t="shared" ca="1" si="21"/>
        <v>2245.625</v>
      </c>
      <c r="L72" s="27"/>
    </row>
    <row r="73" spans="2:15" s="26" customFormat="1" ht="13.8" outlineLevel="1" x14ac:dyDescent="0.3">
      <c r="B73" s="26" t="s">
        <v>41</v>
      </c>
      <c r="E73" s="108"/>
      <c r="F73" s="38">
        <f t="shared" ref="F73:J73" ca="1" si="22">IF(AND(SIGN(OFFSET(F72,0,-1))=-1,SIGN(F72)&gt;-1),-OFFSET(F72,0,-1)/(-OFFSET(F72,0,-1)+F72),0)</f>
        <v>0</v>
      </c>
      <c r="G73" s="38">
        <f t="shared" ca="1" si="22"/>
        <v>0</v>
      </c>
      <c r="H73" s="38">
        <f t="shared" ca="1" si="22"/>
        <v>0.43938012762078393</v>
      </c>
      <c r="I73" s="38">
        <f t="shared" ca="1" si="22"/>
        <v>0</v>
      </c>
      <c r="J73" s="38">
        <f t="shared" ca="1" si="22"/>
        <v>0</v>
      </c>
    </row>
    <row r="74" spans="2:15" s="26" customFormat="1" ht="13.8" outlineLevel="1" x14ac:dyDescent="0.3">
      <c r="B74" s="26" t="s">
        <v>42</v>
      </c>
      <c r="E74" s="38" t="str">
        <f ca="1">IF(J72&lt;0,"nee","ja")</f>
        <v>ja</v>
      </c>
      <c r="F74" s="38"/>
      <c r="G74" s="38"/>
      <c r="H74" s="38"/>
      <c r="I74" s="38"/>
      <c r="J74" s="38"/>
    </row>
    <row r="75" spans="2:15" s="26" customFormat="1" ht="13.8" outlineLevel="1" x14ac:dyDescent="0.3">
      <c r="B75" s="26" t="s">
        <v>44</v>
      </c>
      <c r="E75" s="27">
        <f ca="1">IF(E74="ja",COUNTIF(E72:J72,"&lt;0"),"nvt")</f>
        <v>3</v>
      </c>
      <c r="F75" s="38"/>
      <c r="G75" s="38"/>
      <c r="H75" s="38"/>
      <c r="I75" s="38"/>
      <c r="J75" s="38"/>
    </row>
    <row r="76" spans="2:15" s="26" customFormat="1" ht="13.8" outlineLevel="1" x14ac:dyDescent="0.3">
      <c r="B76" s="26" t="s">
        <v>41</v>
      </c>
      <c r="E76" s="38">
        <f ca="1">INDEX(F73:J73,E75)</f>
        <v>0.43938012762078393</v>
      </c>
      <c r="F76" s="38"/>
      <c r="G76" s="38"/>
      <c r="H76" s="38"/>
      <c r="I76" s="38"/>
      <c r="J76" s="38"/>
    </row>
    <row r="77" spans="2:15" s="26" customFormat="1" ht="13.8" outlineLevel="1" x14ac:dyDescent="0.3">
      <c r="B77" s="26" t="s">
        <v>43</v>
      </c>
      <c r="E77" s="38">
        <f ca="1">IFERROR(E75-1+E76,"nvt")</f>
        <v>2.439380127620784</v>
      </c>
      <c r="F77" s="38"/>
      <c r="G77" s="38"/>
      <c r="H77" s="38"/>
      <c r="I77" s="38"/>
      <c r="J77" s="38"/>
    </row>
    <row r="78" spans="2:15" s="26" customFormat="1" ht="13.8" outlineLevel="1" x14ac:dyDescent="0.3"/>
    <row r="79" spans="2:15" s="26" customFormat="1" ht="13.8" outlineLevel="1" x14ac:dyDescent="0.3">
      <c r="B79" s="26" t="str">
        <f>B60</f>
        <v>Cumulatieve CW</v>
      </c>
      <c r="E79" s="97">
        <f>E60</f>
        <v>-1677.5</v>
      </c>
      <c r="F79" s="97">
        <f t="shared" ref="F79:J79" ca="1" si="23">F60</f>
        <v>-1090</v>
      </c>
      <c r="G79" s="97">
        <f t="shared" ca="1" si="23"/>
        <v>-560.22684310018894</v>
      </c>
      <c r="H79" s="97">
        <f t="shared" ca="1" si="23"/>
        <v>-109.41727623900698</v>
      </c>
      <c r="I79" s="97">
        <f t="shared" ca="1" si="23"/>
        <v>282.59104277071657</v>
      </c>
      <c r="J79" s="97">
        <f t="shared" ca="1" si="23"/>
        <v>867.08444220576871</v>
      </c>
      <c r="L79" s="27"/>
    </row>
    <row r="80" spans="2:15" s="26" customFormat="1" ht="13.8" outlineLevel="1" x14ac:dyDescent="0.3">
      <c r="B80" s="26" t="s">
        <v>41</v>
      </c>
      <c r="E80" s="38"/>
      <c r="F80" s="38">
        <f ca="1">IF(AND(SIGN(OFFSET(F79,0,-1))=-1,SIGN(F79)&gt;-1),-OFFSET(F79,0,-1)/(-OFFSET(F79,0,-1)+F79),0)</f>
        <v>0</v>
      </c>
      <c r="G80" s="38">
        <f t="shared" ref="G80:J80" ca="1" si="24">IF(AND(SIGN(OFFSET(G79,0,-1))=-1,SIGN(G79)&gt;-1),-OFFSET(G79,0,-1)/(-OFFSET(G79,0,-1)+G79),0)</f>
        <v>0</v>
      </c>
      <c r="H80" s="38">
        <f t="shared" ca="1" si="24"/>
        <v>0</v>
      </c>
      <c r="I80" s="38">
        <f t="shared" ca="1" si="24"/>
        <v>0.27911978122151265</v>
      </c>
      <c r="J80" s="38">
        <f t="shared" ca="1" si="24"/>
        <v>0</v>
      </c>
    </row>
    <row r="81" spans="2:15" s="26" customFormat="1" ht="13.8" outlineLevel="1" x14ac:dyDescent="0.3">
      <c r="B81" s="26" t="s">
        <v>42</v>
      </c>
      <c r="E81" s="38" t="str">
        <f ca="1">IF(J79&lt;0,"nee","ja")</f>
        <v>ja</v>
      </c>
      <c r="F81" s="38"/>
      <c r="G81" s="38"/>
      <c r="H81" s="38"/>
      <c r="I81" s="38"/>
      <c r="J81" s="38"/>
    </row>
    <row r="82" spans="2:15" s="26" customFormat="1" ht="13.8" outlineLevel="1" x14ac:dyDescent="0.3">
      <c r="B82" s="26" t="s">
        <v>44</v>
      </c>
      <c r="E82" s="27">
        <f ca="1">IF(E81="ja",COUNTIF(E79:J79,"&lt;0"),"nvt")</f>
        <v>4</v>
      </c>
      <c r="F82" s="38"/>
      <c r="G82" s="38"/>
      <c r="H82" s="38"/>
      <c r="I82" s="38"/>
      <c r="J82" s="38"/>
    </row>
    <row r="83" spans="2:15" s="26" customFormat="1" ht="13.8" outlineLevel="1" x14ac:dyDescent="0.3">
      <c r="B83" s="26" t="s">
        <v>41</v>
      </c>
      <c r="E83" s="38">
        <f ca="1">INDEX(F80:J80,E82)</f>
        <v>0.27911978122151265</v>
      </c>
      <c r="F83" s="38"/>
      <c r="G83" s="38"/>
      <c r="H83" s="38"/>
      <c r="I83" s="38"/>
      <c r="J83" s="38"/>
    </row>
    <row r="84" spans="2:15" s="26" customFormat="1" ht="13.8" outlineLevel="1" x14ac:dyDescent="0.3">
      <c r="B84" s="26" t="s">
        <v>63</v>
      </c>
      <c r="E84" s="38">
        <f ca="1">IFERROR(E82-1+E83,"nvt")</f>
        <v>3.2791197812215125</v>
      </c>
      <c r="F84" s="38"/>
      <c r="G84" s="38"/>
      <c r="H84" s="38"/>
      <c r="I84" s="38"/>
      <c r="J84" s="38"/>
    </row>
    <row r="85" spans="2:15" s="26" customFormat="1" ht="13.8" outlineLevel="1" x14ac:dyDescent="0.3"/>
    <row r="86" spans="2:15" s="26" customFormat="1" ht="13.8" outlineLevel="1" x14ac:dyDescent="0.3">
      <c r="B86" s="32" t="s">
        <v>48</v>
      </c>
    </row>
    <row r="87" spans="2:15" s="26" customFormat="1" ht="13.8" outlineLevel="1" x14ac:dyDescent="0.3">
      <c r="B87" s="26" t="s">
        <v>47</v>
      </c>
      <c r="E87" s="97">
        <f ca="1">NPV(E8,F56:J56)+E56</f>
        <v>867.08444220576894</v>
      </c>
    </row>
    <row r="88" spans="2:15" s="26" customFormat="1" ht="13.8" outlineLevel="1" x14ac:dyDescent="0.3">
      <c r="B88" s="26" t="s">
        <v>80</v>
      </c>
      <c r="E88" s="97">
        <f ca="1">E62</f>
        <v>867.08444220576871</v>
      </c>
    </row>
    <row r="89" spans="2:15" s="26" customFormat="1" ht="13.8" outlineLevel="1" x14ac:dyDescent="0.3">
      <c r="B89" s="26" t="s">
        <v>49</v>
      </c>
      <c r="E89" s="26" t="b">
        <f ca="1">ROUND(E87,2)=ROUND(E88,2)</f>
        <v>1</v>
      </c>
    </row>
    <row r="90" spans="2:15" s="26" customFormat="1" ht="13.8" outlineLevel="1" x14ac:dyDescent="0.3"/>
    <row r="91" spans="2:15" s="26" customFormat="1" ht="13.8" x14ac:dyDescent="0.3"/>
    <row r="92" spans="2:15" s="2" customFormat="1" x14ac:dyDescent="0.3">
      <c r="B92" s="87" t="s">
        <v>72</v>
      </c>
      <c r="C92" s="88"/>
      <c r="D92" s="87"/>
      <c r="E92" s="88">
        <f t="shared" ref="E92:J92" si="25">E19</f>
        <v>2026</v>
      </c>
      <c r="F92" s="88">
        <f t="shared" si="25"/>
        <v>2027</v>
      </c>
      <c r="G92" s="88">
        <f t="shared" si="25"/>
        <v>2028</v>
      </c>
      <c r="H92" s="88">
        <f t="shared" si="25"/>
        <v>2029</v>
      </c>
      <c r="I92" s="88">
        <f t="shared" si="25"/>
        <v>2030</v>
      </c>
      <c r="J92" s="88">
        <f t="shared" si="25"/>
        <v>2031</v>
      </c>
      <c r="K92" s="30"/>
      <c r="L92" s="36"/>
      <c r="M92" s="9"/>
      <c r="N92" s="9"/>
      <c r="O92" s="12"/>
    </row>
    <row r="93" spans="2:15" s="26" customFormat="1" ht="13.8" outlineLevel="1" x14ac:dyDescent="0.3">
      <c r="E93" s="31"/>
      <c r="F93" s="31"/>
    </row>
    <row r="94" spans="2:15" s="26" customFormat="1" ht="13.8" outlineLevel="1" x14ac:dyDescent="0.3">
      <c r="B94" s="26" t="s">
        <v>73</v>
      </c>
      <c r="C94" s="97">
        <f>SUM(E94:J94)</f>
        <v>-1150</v>
      </c>
      <c r="D94" s="97"/>
      <c r="E94" s="97">
        <f>E51</f>
        <v>-1600</v>
      </c>
      <c r="F94" s="105"/>
      <c r="G94" s="105"/>
      <c r="H94" s="105"/>
      <c r="I94" s="105"/>
      <c r="J94" s="97">
        <f>J52</f>
        <v>450</v>
      </c>
    </row>
    <row r="95" spans="2:15" s="26" customFormat="1" ht="13.8" outlineLevel="1" x14ac:dyDescent="0.3">
      <c r="B95" s="26" t="s">
        <v>74</v>
      </c>
      <c r="C95" s="44">
        <f>J92-E92</f>
        <v>5</v>
      </c>
      <c r="L95" s="26" t="s">
        <v>78</v>
      </c>
    </row>
    <row r="96" spans="2:15" s="26" customFormat="1" ht="13.8" outlineLevel="1" x14ac:dyDescent="0.3">
      <c r="B96" s="26" t="s">
        <v>75</v>
      </c>
      <c r="C96" s="27">
        <f>C94/C95</f>
        <v>-230</v>
      </c>
      <c r="D96" s="27"/>
      <c r="E96" s="112"/>
      <c r="F96" s="97">
        <f>$C96</f>
        <v>-230</v>
      </c>
      <c r="G96" s="97">
        <f t="shared" ref="G96:J96" si="26">$C96</f>
        <v>-230</v>
      </c>
      <c r="H96" s="97">
        <f t="shared" si="26"/>
        <v>-230</v>
      </c>
      <c r="I96" s="97">
        <f t="shared" si="26"/>
        <v>-230</v>
      </c>
      <c r="J96" s="97">
        <f t="shared" si="26"/>
        <v>-230</v>
      </c>
    </row>
    <row r="97" spans="2:12" s="26" customFormat="1" ht="13.8" outlineLevel="1" x14ac:dyDescent="0.3">
      <c r="B97" s="26" t="s">
        <v>77</v>
      </c>
      <c r="C97" s="27"/>
      <c r="D97" s="27"/>
      <c r="E97" s="112"/>
      <c r="F97" s="97">
        <f>F96</f>
        <v>-230</v>
      </c>
      <c r="G97" s="97">
        <f ca="1">G96+OFFSET(G97,0,-1)</f>
        <v>-460</v>
      </c>
      <c r="H97" s="97">
        <f t="shared" ref="H97:J97" ca="1" si="27">H96+OFFSET(H97,0,-1)</f>
        <v>-690</v>
      </c>
      <c r="I97" s="97">
        <f t="shared" ca="1" si="27"/>
        <v>-920</v>
      </c>
      <c r="J97" s="97">
        <f t="shared" ca="1" si="27"/>
        <v>-1150</v>
      </c>
    </row>
    <row r="98" spans="2:12" s="26" customFormat="1" ht="13.8" outlineLevel="1" x14ac:dyDescent="0.3">
      <c r="B98" s="26" t="s">
        <v>76</v>
      </c>
      <c r="C98" s="27"/>
      <c r="D98" s="27"/>
      <c r="E98" s="112"/>
      <c r="F98" s="97">
        <f>$E94-F97</f>
        <v>-1370</v>
      </c>
      <c r="G98" s="97">
        <f t="shared" ref="G98:J98" ca="1" si="28">$E94-G97</f>
        <v>-1140</v>
      </c>
      <c r="H98" s="97">
        <f t="shared" ca="1" si="28"/>
        <v>-910</v>
      </c>
      <c r="I98" s="97">
        <f t="shared" ca="1" si="28"/>
        <v>-680</v>
      </c>
      <c r="J98" s="97">
        <f t="shared" ca="1" si="28"/>
        <v>-450</v>
      </c>
    </row>
    <row r="99" spans="2:12" s="26" customFormat="1" ht="13.8" outlineLevel="1" x14ac:dyDescent="0.3">
      <c r="B99" s="26" t="s">
        <v>79</v>
      </c>
      <c r="C99" s="27"/>
      <c r="D99" s="27"/>
      <c r="E99" s="112"/>
      <c r="F99" s="97">
        <f>$C94-F97</f>
        <v>-920</v>
      </c>
      <c r="G99" s="97">
        <f t="shared" ref="G99:J99" ca="1" si="29">$C94-G97</f>
        <v>-690</v>
      </c>
      <c r="H99" s="97">
        <f t="shared" ca="1" si="29"/>
        <v>-460</v>
      </c>
      <c r="I99" s="97">
        <f t="shared" ca="1" si="29"/>
        <v>-230</v>
      </c>
      <c r="J99" s="97">
        <f t="shared" ca="1" si="29"/>
        <v>0</v>
      </c>
    </row>
    <row r="100" spans="2:12" s="32" customFormat="1" ht="13.8" outlineLevel="1" x14ac:dyDescent="0.3">
      <c r="B100" s="32" t="s">
        <v>69</v>
      </c>
      <c r="C100" s="45"/>
      <c r="D100" s="45"/>
      <c r="E100" s="113"/>
      <c r="F100" s="111"/>
      <c r="G100" s="111"/>
      <c r="H100" s="111"/>
      <c r="I100" s="111"/>
      <c r="J100" s="110">
        <f ca="1">J99</f>
        <v>0</v>
      </c>
      <c r="L100" s="32" t="s">
        <v>144</v>
      </c>
    </row>
    <row r="101" spans="2:12" s="26" customFormat="1" ht="13.8" outlineLevel="1" x14ac:dyDescent="0.3">
      <c r="F101" s="97"/>
      <c r="G101" s="97"/>
      <c r="H101" s="97"/>
      <c r="I101" s="97"/>
      <c r="J101" s="97"/>
    </row>
    <row r="102" spans="2:12" s="26" customFormat="1" ht="13.8" outlineLevel="1" x14ac:dyDescent="0.3">
      <c r="B102" s="26" t="s">
        <v>141</v>
      </c>
      <c r="E102" s="114"/>
      <c r="F102" s="97">
        <f>F30</f>
        <v>-230</v>
      </c>
      <c r="G102" s="97">
        <f t="shared" ref="G102:J102" si="30">G30</f>
        <v>-230</v>
      </c>
      <c r="H102" s="97">
        <f t="shared" si="30"/>
        <v>-230</v>
      </c>
      <c r="I102" s="97">
        <f t="shared" si="30"/>
        <v>-230</v>
      </c>
      <c r="J102" s="97">
        <f t="shared" si="30"/>
        <v>-230</v>
      </c>
      <c r="L102" s="26" t="s">
        <v>155</v>
      </c>
    </row>
    <row r="103" spans="2:12" s="26" customFormat="1" ht="13.8" outlineLevel="1" x14ac:dyDescent="0.3">
      <c r="B103" s="26" t="s">
        <v>143</v>
      </c>
      <c r="E103" s="114"/>
      <c r="F103" s="97">
        <f>F102</f>
        <v>-230</v>
      </c>
      <c r="G103" s="97">
        <f ca="1">G102+OFFSET(G103,0,-1)</f>
        <v>-460</v>
      </c>
      <c r="H103" s="97">
        <f ca="1">H102+OFFSET(H103,0,-1)</f>
        <v>-690</v>
      </c>
      <c r="I103" s="97">
        <f ca="1">I102+OFFSET(I103,0,-1)</f>
        <v>-920</v>
      </c>
      <c r="J103" s="97">
        <f ca="1">J102+OFFSET(J103,0,-1)</f>
        <v>-1150</v>
      </c>
    </row>
    <row r="104" spans="2:12" s="26" customFormat="1" ht="13.8" outlineLevel="1" x14ac:dyDescent="0.3">
      <c r="B104" s="26" t="s">
        <v>142</v>
      </c>
      <c r="E104" s="114"/>
      <c r="F104" s="97">
        <f>$E94-F103</f>
        <v>-1370</v>
      </c>
      <c r="G104" s="97">
        <f t="shared" ref="G104:J104" ca="1" si="31">$E94-G103</f>
        <v>-1140</v>
      </c>
      <c r="H104" s="97">
        <f t="shared" ca="1" si="31"/>
        <v>-910</v>
      </c>
      <c r="I104" s="97">
        <f t="shared" ca="1" si="31"/>
        <v>-680</v>
      </c>
      <c r="J104" s="97">
        <f t="shared" ca="1" si="31"/>
        <v>-450</v>
      </c>
    </row>
    <row r="105" spans="2:12" s="26" customFormat="1" ht="13.8" outlineLevel="1" x14ac:dyDescent="0.3">
      <c r="B105" s="26" t="s">
        <v>145</v>
      </c>
      <c r="E105" s="114"/>
      <c r="F105" s="111"/>
      <c r="G105" s="111"/>
      <c r="H105" s="111"/>
      <c r="I105" s="111"/>
      <c r="J105" s="97">
        <f>J94</f>
        <v>450</v>
      </c>
    </row>
    <row r="106" spans="2:12" s="26" customFormat="1" ht="13.8" outlineLevel="1" x14ac:dyDescent="0.3">
      <c r="B106" s="26" t="s">
        <v>146</v>
      </c>
      <c r="E106" s="114"/>
      <c r="F106" s="105"/>
      <c r="G106" s="105"/>
      <c r="H106" s="105"/>
      <c r="I106" s="105"/>
      <c r="J106" s="97">
        <f ca="1">SUM(J104:J105)</f>
        <v>0</v>
      </c>
    </row>
    <row r="107" spans="2:12" s="26" customFormat="1" ht="13.8" x14ac:dyDescent="0.3"/>
    <row r="108" spans="2:12" s="26" customFormat="1" ht="13.8" x14ac:dyDescent="0.3"/>
    <row r="109" spans="2:12" s="26" customFormat="1" ht="13.8" x14ac:dyDescent="0.3"/>
    <row r="110" spans="2:12" s="26" customFormat="1" ht="13.8" x14ac:dyDescent="0.3"/>
    <row r="111" spans="2:12" s="26" customFormat="1" ht="13.8" x14ac:dyDescent="0.3"/>
    <row r="112" spans="2:12" s="26" customFormat="1" ht="13.8" x14ac:dyDescent="0.3"/>
    <row r="113" s="26" customFormat="1" ht="13.8"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row r="186" s="26" customFormat="1" ht="13.8" x14ac:dyDescent="0.3"/>
    <row r="187" s="26" customFormat="1" ht="13.8" x14ac:dyDescent="0.3"/>
    <row r="188" s="26" customFormat="1" ht="13.8" x14ac:dyDescent="0.3"/>
    <row r="189" s="26" customFormat="1" ht="13.8" x14ac:dyDescent="0.3"/>
    <row r="190" s="26" customFormat="1" ht="13.8" x14ac:dyDescent="0.3"/>
    <row r="191" s="26" customFormat="1" ht="13.8" x14ac:dyDescent="0.3"/>
    <row r="192" s="26" customFormat="1" ht="13.8" x14ac:dyDescent="0.3"/>
    <row r="193" s="26" customFormat="1" ht="13.8" x14ac:dyDescent="0.3"/>
    <row r="194" s="26" customFormat="1" ht="13.8" x14ac:dyDescent="0.3"/>
  </sheetData>
  <conditionalFormatting sqref="E89">
    <cfRule type="expression" dxfId="1" priority="1">
      <formula>$E$89=FALSE</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81509-47D9-4996-8F1F-D6E7EAA4BF76}">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BF48A-7E41-4DD9-83F7-BBE8C688A5CE}">
  <dimension ref="B1:O198"/>
  <sheetViews>
    <sheetView showGridLines="0" zoomScale="90" zoomScaleNormal="90" workbookViewId="0">
      <pane ySplit="4" topLeftCell="A5" activePane="bottomLeft" state="frozen"/>
      <selection activeCell="D55" sqref="D55"/>
      <selection pane="bottomLeft" activeCell="A5" sqref="A5"/>
    </sheetView>
  </sheetViews>
  <sheetFormatPr defaultRowHeight="14.4" outlineLevelRow="1" x14ac:dyDescent="0.3"/>
  <cols>
    <col min="1" max="1" width="2.21875" customWidth="1"/>
    <col min="2" max="2" width="33.6640625" customWidth="1"/>
    <col min="3" max="3" width="7.33203125" customWidth="1"/>
    <col min="4" max="4" width="1.5546875" customWidth="1"/>
    <col min="5" max="5" width="10.33203125" bestFit="1" customWidth="1"/>
  </cols>
  <sheetData>
    <row r="1" spans="2:15" ht="8.4" customHeight="1" x14ac:dyDescent="0.3"/>
    <row r="2" spans="2:15" ht="15.6" x14ac:dyDescent="0.3">
      <c r="B2" s="14" t="s">
        <v>157</v>
      </c>
      <c r="C2" s="89"/>
      <c r="D2" s="89"/>
      <c r="E2" s="90"/>
      <c r="F2" s="22"/>
      <c r="G2" s="22"/>
      <c r="H2" s="22"/>
      <c r="I2" s="22"/>
      <c r="J2" s="16" t="s">
        <v>204</v>
      </c>
    </row>
    <row r="3" spans="2:15" x14ac:dyDescent="0.3">
      <c r="B3" s="23"/>
      <c r="C3" s="23"/>
      <c r="D3" s="23"/>
      <c r="E3" s="24"/>
      <c r="F3" s="24"/>
    </row>
    <row r="4" spans="2:15" x14ac:dyDescent="0.3">
      <c r="B4" s="25" t="s">
        <v>1</v>
      </c>
      <c r="C4" s="25"/>
      <c r="D4" s="25"/>
      <c r="E4" s="22"/>
      <c r="F4" s="22"/>
    </row>
    <row r="5" spans="2:15" s="2" customFormat="1" x14ac:dyDescent="0.3">
      <c r="B5" s="87" t="s">
        <v>10</v>
      </c>
      <c r="C5" s="88"/>
      <c r="D5" s="87"/>
      <c r="E5" s="88"/>
      <c r="F5" s="88"/>
      <c r="G5" s="88"/>
      <c r="H5" s="88"/>
      <c r="I5" s="88"/>
      <c r="J5" s="88"/>
      <c r="K5" s="30"/>
      <c r="L5" s="30"/>
      <c r="M5" s="9"/>
      <c r="N5" s="9"/>
      <c r="O5" s="12"/>
    </row>
    <row r="6" spans="2:15" outlineLevel="1" x14ac:dyDescent="0.3">
      <c r="B6" s="26"/>
      <c r="C6" s="26"/>
      <c r="D6" s="26"/>
      <c r="E6" s="31"/>
      <c r="F6" s="31"/>
      <c r="G6" s="26"/>
      <c r="H6" s="26"/>
      <c r="I6" s="26"/>
      <c r="J6" s="26"/>
      <c r="K6" s="26"/>
      <c r="L6" s="26"/>
    </row>
    <row r="7" spans="2:15" outlineLevel="1" x14ac:dyDescent="0.3">
      <c r="B7" s="26" t="s">
        <v>51</v>
      </c>
      <c r="C7" s="26"/>
      <c r="D7" s="26"/>
      <c r="E7" s="46">
        <f>'Invoer Scenario Basis'!E7</f>
        <v>2026</v>
      </c>
      <c r="F7" s="27"/>
      <c r="G7" s="26"/>
      <c r="H7" s="26"/>
      <c r="I7" s="26"/>
      <c r="J7" s="26"/>
      <c r="K7" s="26"/>
      <c r="L7" s="26" t="s">
        <v>81</v>
      </c>
    </row>
    <row r="8" spans="2:15" outlineLevel="1" x14ac:dyDescent="0.3">
      <c r="B8" s="26" t="s">
        <v>15</v>
      </c>
      <c r="C8" s="26"/>
      <c r="D8" s="26"/>
      <c r="E8" s="47">
        <f>Dashboard!E8</f>
        <v>0.14000000000000001</v>
      </c>
      <c r="F8" s="27"/>
      <c r="G8" s="26"/>
      <c r="H8" s="26"/>
      <c r="I8" s="66" t="s">
        <v>148</v>
      </c>
      <c r="J8" s="26"/>
      <c r="K8" s="26"/>
      <c r="L8" s="26" t="s">
        <v>82</v>
      </c>
    </row>
    <row r="9" spans="2:15" outlineLevel="1" x14ac:dyDescent="0.3">
      <c r="B9" s="26" t="s">
        <v>74</v>
      </c>
      <c r="C9" s="26"/>
      <c r="D9" s="26"/>
      <c r="E9" s="44">
        <f>J11-E11</f>
        <v>5</v>
      </c>
      <c r="F9" s="27"/>
      <c r="G9" s="26"/>
      <c r="H9" s="26"/>
      <c r="I9" s="26"/>
      <c r="J9" s="26"/>
      <c r="K9" s="26"/>
      <c r="L9" s="26"/>
    </row>
    <row r="10" spans="2:15" x14ac:dyDescent="0.3">
      <c r="B10" s="26"/>
      <c r="C10" s="26"/>
      <c r="D10" s="26"/>
      <c r="E10" s="27"/>
      <c r="F10" s="27"/>
      <c r="G10" s="26"/>
      <c r="H10" s="26"/>
      <c r="I10" s="26"/>
      <c r="J10" s="26"/>
      <c r="K10" s="26"/>
      <c r="L10" s="26"/>
    </row>
    <row r="11" spans="2:15" s="2" customFormat="1" x14ac:dyDescent="0.3">
      <c r="B11" s="87" t="s">
        <v>176</v>
      </c>
      <c r="C11" s="88"/>
      <c r="D11" s="87"/>
      <c r="E11" s="88">
        <f>E19</f>
        <v>2026</v>
      </c>
      <c r="F11" s="88">
        <f t="shared" ref="F11:J11" si="0">F19</f>
        <v>2027</v>
      </c>
      <c r="G11" s="88">
        <f t="shared" si="0"/>
        <v>2028</v>
      </c>
      <c r="H11" s="88">
        <f t="shared" si="0"/>
        <v>2029</v>
      </c>
      <c r="I11" s="88">
        <f t="shared" si="0"/>
        <v>2030</v>
      </c>
      <c r="J11" s="88">
        <f t="shared" si="0"/>
        <v>2031</v>
      </c>
      <c r="K11" s="30"/>
      <c r="L11" s="30"/>
      <c r="M11" s="9"/>
      <c r="N11" s="9"/>
      <c r="O11" s="12"/>
    </row>
    <row r="12" spans="2:15" s="17" customFormat="1" outlineLevel="1" x14ac:dyDescent="0.3">
      <c r="B12" s="33"/>
      <c r="C12" s="73"/>
      <c r="D12" s="33"/>
      <c r="E12" s="116"/>
      <c r="F12" s="116"/>
      <c r="G12" s="116"/>
      <c r="H12" s="116"/>
      <c r="I12" s="116"/>
      <c r="J12" s="116"/>
      <c r="K12" s="73"/>
      <c r="L12" s="73"/>
      <c r="M12" s="75"/>
      <c r="N12" s="75"/>
      <c r="O12" s="75"/>
    </row>
    <row r="13" spans="2:15" s="17" customFormat="1" outlineLevel="1" x14ac:dyDescent="0.3">
      <c r="B13" s="33" t="s">
        <v>177</v>
      </c>
      <c r="C13" s="73"/>
      <c r="D13" s="33"/>
      <c r="E13" s="118"/>
      <c r="F13" s="117">
        <f>'Invoer Scenario Basis'!F13</f>
        <v>-60</v>
      </c>
      <c r="G13" s="117">
        <f>'Invoer Scenario Basis'!G13</f>
        <v>-60</v>
      </c>
      <c r="H13" s="117">
        <f>'Invoer Scenario Basis'!H13</f>
        <v>-60</v>
      </c>
      <c r="I13" s="117">
        <f>'Invoer Scenario Basis'!I13</f>
        <v>-60</v>
      </c>
      <c r="J13" s="117">
        <f>'Invoer Scenario Basis'!J13</f>
        <v>-60</v>
      </c>
      <c r="K13" s="73"/>
      <c r="L13" s="26" t="s">
        <v>179</v>
      </c>
      <c r="M13" s="75"/>
      <c r="N13" s="75"/>
      <c r="O13" s="75"/>
    </row>
    <row r="14" spans="2:15" s="17" customFormat="1" outlineLevel="1" x14ac:dyDescent="0.3">
      <c r="B14" s="33" t="s">
        <v>178</v>
      </c>
      <c r="C14" s="73"/>
      <c r="D14" s="33"/>
      <c r="E14" s="118"/>
      <c r="F14" s="118"/>
      <c r="G14" s="118"/>
      <c r="H14" s="118"/>
      <c r="I14" s="118"/>
      <c r="J14" s="117">
        <f>'Invoer Scenario Basis'!J14</f>
        <v>50</v>
      </c>
      <c r="K14" s="73"/>
      <c r="L14" s="26" t="s">
        <v>183</v>
      </c>
      <c r="M14" s="75"/>
      <c r="N14" s="75"/>
      <c r="O14" s="75"/>
    </row>
    <row r="15" spans="2:15" s="17" customFormat="1" outlineLevel="1" x14ac:dyDescent="0.3">
      <c r="B15" s="33" t="s">
        <v>180</v>
      </c>
      <c r="C15" s="73"/>
      <c r="D15" s="33"/>
      <c r="E15" s="118"/>
      <c r="F15" s="118"/>
      <c r="G15" s="118"/>
      <c r="H15" s="118"/>
      <c r="I15" s="118"/>
      <c r="J15" s="117">
        <f>'Invoer Scenario Basis'!J15</f>
        <v>10</v>
      </c>
      <c r="K15" s="73"/>
      <c r="L15" s="26" t="s">
        <v>181</v>
      </c>
      <c r="M15" s="75"/>
      <c r="N15" s="75"/>
      <c r="O15" s="75"/>
    </row>
    <row r="16" spans="2:15" s="17" customFormat="1" outlineLevel="1" x14ac:dyDescent="0.3">
      <c r="B16" s="33" t="s">
        <v>182</v>
      </c>
      <c r="C16" s="73"/>
      <c r="D16" s="33"/>
      <c r="E16" s="117">
        <f>'Invoer Scenario Basis'!E16</f>
        <v>450</v>
      </c>
      <c r="F16" s="118"/>
      <c r="G16" s="118"/>
      <c r="H16" s="118"/>
      <c r="I16" s="118"/>
      <c r="J16" s="118"/>
      <c r="K16" s="73"/>
      <c r="L16" s="26" t="s">
        <v>184</v>
      </c>
      <c r="M16" s="75"/>
      <c r="N16" s="75"/>
      <c r="O16" s="75"/>
    </row>
    <row r="17" spans="2:15" s="17" customFormat="1" outlineLevel="1" x14ac:dyDescent="0.3">
      <c r="B17" s="33" t="s">
        <v>185</v>
      </c>
      <c r="C17" s="73"/>
      <c r="D17" s="33"/>
      <c r="E17" s="117">
        <f>'Invoer Scenario Basis'!E17</f>
        <v>150</v>
      </c>
      <c r="F17" s="118"/>
      <c r="G17" s="118"/>
      <c r="H17" s="118"/>
      <c r="I17" s="118"/>
      <c r="J17" s="118"/>
      <c r="K17" s="73"/>
      <c r="L17" s="26" t="s">
        <v>186</v>
      </c>
      <c r="M17" s="75"/>
      <c r="N17" s="75"/>
      <c r="O17" s="75"/>
    </row>
    <row r="18" spans="2:15" s="17" customFormat="1" x14ac:dyDescent="0.3">
      <c r="B18" s="33"/>
      <c r="C18" s="33"/>
      <c r="D18" s="33"/>
      <c r="E18" s="94"/>
      <c r="F18" s="94"/>
      <c r="G18" s="95"/>
      <c r="H18" s="95"/>
      <c r="I18" s="95"/>
      <c r="J18" s="95"/>
      <c r="K18" s="33"/>
      <c r="L18" s="26"/>
    </row>
    <row r="19" spans="2:15" s="2" customFormat="1" x14ac:dyDescent="0.3">
      <c r="B19" s="87" t="s">
        <v>16</v>
      </c>
      <c r="C19" s="88"/>
      <c r="D19" s="87"/>
      <c r="E19" s="88">
        <f>E7</f>
        <v>2026</v>
      </c>
      <c r="F19" s="88">
        <f>$E19+COLUMN()-COLUMN($E19)</f>
        <v>2027</v>
      </c>
      <c r="G19" s="88">
        <f t="shared" ref="G19:J19" si="1">$E19+COLUMN()-COLUMN($E19)</f>
        <v>2028</v>
      </c>
      <c r="H19" s="88">
        <f t="shared" si="1"/>
        <v>2029</v>
      </c>
      <c r="I19" s="88">
        <f t="shared" si="1"/>
        <v>2030</v>
      </c>
      <c r="J19" s="88">
        <f t="shared" si="1"/>
        <v>2031</v>
      </c>
      <c r="K19" s="30"/>
      <c r="L19" s="36"/>
      <c r="M19" s="9"/>
      <c r="N19" s="9"/>
      <c r="O19" s="12"/>
    </row>
    <row r="20" spans="2:15" s="26" customFormat="1" ht="13.8" x14ac:dyDescent="0.3">
      <c r="E20" s="31"/>
      <c r="F20" s="31"/>
    </row>
    <row r="21" spans="2:15" s="28" customFormat="1" ht="13.8" x14ac:dyDescent="0.3">
      <c r="B21" s="28" t="s">
        <v>150</v>
      </c>
      <c r="E21" s="104"/>
      <c r="F21" s="98">
        <f>F112</f>
        <v>1500</v>
      </c>
      <c r="G21" s="98">
        <f t="shared" ref="G21:J21" si="2">G112</f>
        <v>1500</v>
      </c>
      <c r="H21" s="98">
        <f t="shared" si="2"/>
        <v>1500</v>
      </c>
      <c r="I21" s="98">
        <f t="shared" si="2"/>
        <v>1500</v>
      </c>
      <c r="J21" s="98">
        <f t="shared" si="2"/>
        <v>1500</v>
      </c>
      <c r="L21" s="28" t="s">
        <v>87</v>
      </c>
    </row>
    <row r="22" spans="2:15" s="26" customFormat="1" ht="13.8" x14ac:dyDescent="0.3">
      <c r="E22" s="95"/>
      <c r="F22" s="95"/>
      <c r="G22" s="97"/>
      <c r="H22" s="97"/>
      <c r="I22" s="97"/>
      <c r="J22" s="97"/>
    </row>
    <row r="23" spans="2:15" s="26" customFormat="1" ht="13.8" x14ac:dyDescent="0.3">
      <c r="B23" s="37" t="s">
        <v>20</v>
      </c>
      <c r="C23" s="47">
        <f>Dashboard!I8</f>
        <v>-0.25</v>
      </c>
      <c r="E23" s="105"/>
      <c r="F23" s="97">
        <f>$C23*F21</f>
        <v>-375</v>
      </c>
      <c r="G23" s="97">
        <f t="shared" ref="G23:J23" si="3">$C23*G21</f>
        <v>-375</v>
      </c>
      <c r="H23" s="97">
        <f t="shared" si="3"/>
        <v>-375</v>
      </c>
      <c r="I23" s="97">
        <f t="shared" si="3"/>
        <v>-375</v>
      </c>
      <c r="J23" s="97">
        <f t="shared" si="3"/>
        <v>-375</v>
      </c>
      <c r="L23" s="26" t="s">
        <v>82</v>
      </c>
    </row>
    <row r="24" spans="2:15" s="26" customFormat="1" ht="13.8" x14ac:dyDescent="0.3">
      <c r="B24" s="37" t="s">
        <v>54</v>
      </c>
      <c r="E24" s="105"/>
      <c r="F24" s="119">
        <f>'Invoer Scenario Basis'!F24</f>
        <v>0</v>
      </c>
      <c r="G24" s="119">
        <f>'Invoer Scenario Basis'!G24</f>
        <v>0</v>
      </c>
      <c r="H24" s="119">
        <f>'Invoer Scenario Basis'!H24</f>
        <v>0</v>
      </c>
      <c r="I24" s="119">
        <f>'Invoer Scenario Basis'!I24</f>
        <v>0</v>
      </c>
      <c r="J24" s="119">
        <f>'Invoer Scenario Basis'!J24</f>
        <v>50</v>
      </c>
      <c r="L24" s="26" t="s">
        <v>81</v>
      </c>
    </row>
    <row r="25" spans="2:15" s="28" customFormat="1" ht="13.8" x14ac:dyDescent="0.3">
      <c r="B25" s="28" t="s">
        <v>21</v>
      </c>
      <c r="E25" s="106"/>
      <c r="F25" s="101">
        <f>SUM(F23:F24)</f>
        <v>-375</v>
      </c>
      <c r="G25" s="101">
        <f t="shared" ref="G25:J25" si="4">SUM(G23:G24)</f>
        <v>-375</v>
      </c>
      <c r="H25" s="101">
        <f t="shared" si="4"/>
        <v>-375</v>
      </c>
      <c r="I25" s="101">
        <f t="shared" si="4"/>
        <v>-375</v>
      </c>
      <c r="J25" s="101">
        <f t="shared" si="4"/>
        <v>-325</v>
      </c>
    </row>
    <row r="26" spans="2:15" s="26" customFormat="1" ht="13.8" x14ac:dyDescent="0.3">
      <c r="E26" s="97"/>
      <c r="F26" s="97"/>
      <c r="G26" s="97"/>
      <c r="H26" s="97"/>
      <c r="I26" s="97"/>
      <c r="J26" s="97"/>
    </row>
    <row r="27" spans="2:15" s="26" customFormat="1" ht="13.8" x14ac:dyDescent="0.3">
      <c r="B27" s="37" t="s">
        <v>22</v>
      </c>
      <c r="C27" s="47">
        <f>'Invoer Scenario Basis'!C27</f>
        <v>-0.05</v>
      </c>
      <c r="E27" s="105"/>
      <c r="F27" s="97">
        <f>$C27*F21</f>
        <v>-75</v>
      </c>
      <c r="G27" s="97">
        <f t="shared" ref="G27:J27" si="5">$C27*G21</f>
        <v>-75</v>
      </c>
      <c r="H27" s="97">
        <f t="shared" si="5"/>
        <v>-75</v>
      </c>
      <c r="I27" s="97">
        <f t="shared" si="5"/>
        <v>-75</v>
      </c>
      <c r="J27" s="97">
        <f t="shared" si="5"/>
        <v>-75</v>
      </c>
      <c r="L27" s="26" t="s">
        <v>81</v>
      </c>
    </row>
    <row r="28" spans="2:15" s="26" customFormat="1" ht="13.8" x14ac:dyDescent="0.3">
      <c r="B28" s="37" t="s">
        <v>55</v>
      </c>
      <c r="E28" s="105"/>
      <c r="F28" s="119">
        <f>'Invoer Scenario Basis'!F28</f>
        <v>0</v>
      </c>
      <c r="G28" s="119">
        <f>'Invoer Scenario Basis'!G28</f>
        <v>20</v>
      </c>
      <c r="H28" s="119">
        <f>'Invoer Scenario Basis'!H28</f>
        <v>0</v>
      </c>
      <c r="I28" s="119">
        <f>'Invoer Scenario Basis'!I28</f>
        <v>0</v>
      </c>
      <c r="J28" s="119">
        <f>'Invoer Scenario Basis'!J28</f>
        <v>0</v>
      </c>
      <c r="L28" s="26" t="s">
        <v>81</v>
      </c>
    </row>
    <row r="29" spans="2:15" s="26" customFormat="1" ht="13.8" x14ac:dyDescent="0.3">
      <c r="B29" s="37" t="s">
        <v>149</v>
      </c>
      <c r="E29" s="119">
        <f>'Invoer Scenario Basis'!E29</f>
        <v>-500</v>
      </c>
      <c r="F29" s="119">
        <f>'Invoer Scenario Basis'!F29</f>
        <v>0</v>
      </c>
      <c r="G29" s="119">
        <f>'Invoer Scenario Basis'!G29</f>
        <v>0</v>
      </c>
      <c r="H29" s="119">
        <f>'Invoer Scenario Basis'!H29</f>
        <v>0</v>
      </c>
      <c r="I29" s="119">
        <f>'Invoer Scenario Basis'!I29</f>
        <v>0</v>
      </c>
      <c r="J29" s="119">
        <f>'Invoer Scenario Basis'!J29</f>
        <v>0</v>
      </c>
      <c r="L29" s="26" t="s">
        <v>81</v>
      </c>
    </row>
    <row r="30" spans="2:15" s="26" customFormat="1" ht="13.8" x14ac:dyDescent="0.3">
      <c r="B30" s="37" t="s">
        <v>174</v>
      </c>
      <c r="E30" s="105"/>
      <c r="F30" s="95">
        <f>F96</f>
        <v>-260</v>
      </c>
      <c r="G30" s="95">
        <f t="shared" ref="G30:J30" si="6">G96</f>
        <v>-260</v>
      </c>
      <c r="H30" s="95">
        <f t="shared" si="6"/>
        <v>-260</v>
      </c>
      <c r="I30" s="95">
        <f t="shared" si="6"/>
        <v>-260</v>
      </c>
      <c r="J30" s="95">
        <f t="shared" si="6"/>
        <v>-260</v>
      </c>
      <c r="L30" s="26" t="s">
        <v>173</v>
      </c>
    </row>
    <row r="31" spans="2:15" s="26" customFormat="1" ht="13.8" x14ac:dyDescent="0.3">
      <c r="B31" s="37" t="s">
        <v>175</v>
      </c>
      <c r="E31" s="105"/>
      <c r="F31" s="95">
        <f>-F13</f>
        <v>60</v>
      </c>
      <c r="G31" s="95">
        <f t="shared" ref="G31:J31" si="7">-G13</f>
        <v>60</v>
      </c>
      <c r="H31" s="95">
        <f t="shared" si="7"/>
        <v>60</v>
      </c>
      <c r="I31" s="95">
        <f t="shared" si="7"/>
        <v>60</v>
      </c>
      <c r="J31" s="95">
        <f t="shared" si="7"/>
        <v>60</v>
      </c>
      <c r="L31" s="26" t="str">
        <f>"Kopie regel "&amp;ROW(L13)&amp;". Positieve niet gerealiseserde afschrijvingslasten oude investering"</f>
        <v>Kopie regel 13. Positieve niet gerealiseserde afschrijvingslasten oude investering</v>
      </c>
    </row>
    <row r="32" spans="2:15" s="28" customFormat="1" ht="13.8" x14ac:dyDescent="0.3">
      <c r="B32" s="28" t="s">
        <v>24</v>
      </c>
      <c r="E32" s="101">
        <f>SUM(E27:E31)</f>
        <v>-500</v>
      </c>
      <c r="F32" s="101">
        <f t="shared" ref="F32:J32" si="8">SUM(F27:F31)</f>
        <v>-275</v>
      </c>
      <c r="G32" s="101">
        <f t="shared" si="8"/>
        <v>-255</v>
      </c>
      <c r="H32" s="101">
        <f t="shared" si="8"/>
        <v>-275</v>
      </c>
      <c r="I32" s="101">
        <f t="shared" si="8"/>
        <v>-275</v>
      </c>
      <c r="J32" s="101">
        <f t="shared" si="8"/>
        <v>-275</v>
      </c>
    </row>
    <row r="33" spans="2:15" s="26" customFormat="1" ht="13.8" x14ac:dyDescent="0.3">
      <c r="E33" s="97"/>
      <c r="F33" s="97"/>
      <c r="G33" s="97"/>
      <c r="H33" s="97"/>
      <c r="I33" s="97"/>
      <c r="J33" s="97"/>
    </row>
    <row r="34" spans="2:15" s="26" customFormat="1" ht="13.8" x14ac:dyDescent="0.3">
      <c r="B34" s="76" t="s">
        <v>188</v>
      </c>
      <c r="E34" s="105"/>
      <c r="F34" s="120"/>
      <c r="G34" s="120"/>
      <c r="H34" s="120"/>
      <c r="I34" s="120"/>
      <c r="J34" s="119">
        <f ca="1">J106</f>
        <v>0</v>
      </c>
    </row>
    <row r="35" spans="2:15" s="26" customFormat="1" ht="13.8" x14ac:dyDescent="0.3">
      <c r="B35" s="76" t="s">
        <v>189</v>
      </c>
      <c r="E35" s="97">
        <f>E17</f>
        <v>150</v>
      </c>
      <c r="F35" s="107"/>
      <c r="G35" s="107"/>
      <c r="H35" s="107"/>
      <c r="I35" s="107"/>
      <c r="J35" s="107"/>
      <c r="L35" s="35" t="str">
        <f>"Kopie regel "&amp;ROW(L17)&amp;". Verkoopresultaat oude investering jaat 0 (= inschatting verkoopopbrengst -/- boekwaarde jaar 0)"</f>
        <v>Kopie regel 17. Verkoopresultaat oude investering jaat 0 (= inschatting verkoopopbrengst -/- boekwaarde jaar 0)</v>
      </c>
    </row>
    <row r="36" spans="2:15" s="26" customFormat="1" ht="13.8" x14ac:dyDescent="0.3">
      <c r="B36" s="76" t="s">
        <v>190</v>
      </c>
      <c r="E36" s="105"/>
      <c r="F36" s="107"/>
      <c r="G36" s="107"/>
      <c r="H36" s="107"/>
      <c r="I36" s="107"/>
      <c r="J36" s="95">
        <f>-J15</f>
        <v>-10</v>
      </c>
      <c r="L36" s="35" t="str">
        <f>"Kopie regel "&amp;ROW(L15)&amp;". Verkoopresultaat oude investering laatste jaar (= inschatting verkoopopbrengst -/- boekwaarde)"</f>
        <v>Kopie regel 15. Verkoopresultaat oude investering laatste jaar (= inschatting verkoopopbrengst -/- boekwaarde)</v>
      </c>
    </row>
    <row r="37" spans="2:15" s="26" customFormat="1" ht="13.8" x14ac:dyDescent="0.3">
      <c r="B37" s="37"/>
      <c r="E37" s="97"/>
      <c r="F37" s="119"/>
      <c r="G37" s="119"/>
      <c r="H37" s="119"/>
      <c r="I37" s="119"/>
      <c r="J37" s="119"/>
    </row>
    <row r="38" spans="2:15" s="28" customFormat="1" ht="13.8" x14ac:dyDescent="0.3">
      <c r="B38" s="28" t="s">
        <v>25</v>
      </c>
      <c r="E38" s="100">
        <f>E21+E25+SUM(E32:E37)</f>
        <v>-350</v>
      </c>
      <c r="F38" s="100">
        <f t="shared" ref="F38:J38" si="9">F21+F25+SUM(F32:F37)</f>
        <v>850</v>
      </c>
      <c r="G38" s="100">
        <f t="shared" si="9"/>
        <v>870</v>
      </c>
      <c r="H38" s="100">
        <f t="shared" si="9"/>
        <v>850</v>
      </c>
      <c r="I38" s="100">
        <f t="shared" si="9"/>
        <v>850</v>
      </c>
      <c r="J38" s="100">
        <f t="shared" ca="1" si="9"/>
        <v>890</v>
      </c>
    </row>
    <row r="39" spans="2:15" s="26" customFormat="1" ht="13.8" x14ac:dyDescent="0.3">
      <c r="E39" s="97"/>
      <c r="F39" s="97"/>
      <c r="G39" s="97"/>
      <c r="H39" s="97"/>
      <c r="I39" s="97"/>
      <c r="J39" s="97"/>
    </row>
    <row r="40" spans="2:15" s="26" customFormat="1" ht="13.8" x14ac:dyDescent="0.3">
      <c r="B40" s="26" t="s">
        <v>0</v>
      </c>
      <c r="C40" s="47">
        <f>'Invoer Scenario Basis'!C40</f>
        <v>-0.25</v>
      </c>
      <c r="E40" s="97">
        <f>$C40*E38</f>
        <v>87.5</v>
      </c>
      <c r="F40" s="97">
        <f>$C40*F38</f>
        <v>-212.5</v>
      </c>
      <c r="G40" s="97">
        <f t="shared" ref="G40:J40" si="10">$C40*G38</f>
        <v>-217.5</v>
      </c>
      <c r="H40" s="97">
        <f t="shared" si="10"/>
        <v>-212.5</v>
      </c>
      <c r="I40" s="97">
        <f t="shared" si="10"/>
        <v>-212.5</v>
      </c>
      <c r="J40" s="97">
        <f t="shared" ca="1" si="10"/>
        <v>-222.5</v>
      </c>
      <c r="L40" s="26" t="s">
        <v>81</v>
      </c>
    </row>
    <row r="41" spans="2:15" s="28" customFormat="1" thickBot="1" x14ac:dyDescent="0.35">
      <c r="B41" s="28" t="s">
        <v>26</v>
      </c>
      <c r="E41" s="103">
        <f>SUM(E38:E40)</f>
        <v>-262.5</v>
      </c>
      <c r="F41" s="103">
        <f>SUM(F38:F40)</f>
        <v>637.5</v>
      </c>
      <c r="G41" s="103">
        <f t="shared" ref="G41:J41" si="11">SUM(G38:G40)</f>
        <v>652.5</v>
      </c>
      <c r="H41" s="103">
        <f t="shared" si="11"/>
        <v>637.5</v>
      </c>
      <c r="I41" s="103">
        <f t="shared" si="11"/>
        <v>637.5</v>
      </c>
      <c r="J41" s="103">
        <f t="shared" ca="1" si="11"/>
        <v>667.5</v>
      </c>
    </row>
    <row r="42" spans="2:15" s="26" customFormat="1" thickTop="1" x14ac:dyDescent="0.3">
      <c r="E42" s="97"/>
      <c r="F42" s="97"/>
      <c r="G42" s="97"/>
      <c r="H42" s="97"/>
      <c r="I42" s="97"/>
      <c r="J42" s="97"/>
    </row>
    <row r="43" spans="2:15" s="2" customFormat="1" x14ac:dyDescent="0.3">
      <c r="B43" s="87" t="s">
        <v>28</v>
      </c>
      <c r="C43" s="88"/>
      <c r="D43" s="87"/>
      <c r="E43" s="88">
        <f t="shared" ref="E43:J43" si="12">E19</f>
        <v>2026</v>
      </c>
      <c r="F43" s="88">
        <f t="shared" si="12"/>
        <v>2027</v>
      </c>
      <c r="G43" s="88">
        <f t="shared" si="12"/>
        <v>2028</v>
      </c>
      <c r="H43" s="88">
        <f t="shared" si="12"/>
        <v>2029</v>
      </c>
      <c r="I43" s="88">
        <f t="shared" si="12"/>
        <v>2030</v>
      </c>
      <c r="J43" s="88">
        <f t="shared" si="12"/>
        <v>2031</v>
      </c>
      <c r="K43" s="30"/>
      <c r="L43" s="36"/>
      <c r="M43" s="9"/>
      <c r="N43" s="9"/>
      <c r="O43" s="12"/>
    </row>
    <row r="44" spans="2:15" s="26" customFormat="1" ht="13.8" x14ac:dyDescent="0.3">
      <c r="E44" s="31"/>
      <c r="F44" s="31"/>
    </row>
    <row r="45" spans="2:15" s="28" customFormat="1" ht="13.8" x14ac:dyDescent="0.3">
      <c r="B45" s="28" t="s">
        <v>26</v>
      </c>
      <c r="E45" s="100">
        <f>E41</f>
        <v>-262.5</v>
      </c>
      <c r="F45" s="100">
        <f t="shared" ref="F45:J45" si="13">F41</f>
        <v>637.5</v>
      </c>
      <c r="G45" s="100">
        <f t="shared" si="13"/>
        <v>652.5</v>
      </c>
      <c r="H45" s="100">
        <f t="shared" si="13"/>
        <v>637.5</v>
      </c>
      <c r="I45" s="100">
        <f t="shared" si="13"/>
        <v>637.5</v>
      </c>
      <c r="J45" s="100">
        <f t="shared" ca="1" si="13"/>
        <v>667.5</v>
      </c>
    </row>
    <row r="46" spans="2:15" s="26" customFormat="1" ht="13.8" x14ac:dyDescent="0.3">
      <c r="E46" s="97"/>
      <c r="F46" s="97"/>
      <c r="G46" s="97"/>
      <c r="H46" s="97"/>
      <c r="I46" s="97"/>
      <c r="J46" s="97"/>
    </row>
    <row r="47" spans="2:15" s="26" customFormat="1" ht="13.8" x14ac:dyDescent="0.3">
      <c r="B47" s="26" t="s">
        <v>29</v>
      </c>
      <c r="E47" s="105"/>
      <c r="F47" s="97">
        <f>-F30-F31</f>
        <v>200</v>
      </c>
      <c r="G47" s="97">
        <f t="shared" ref="G47:J47" si="14">-G30-G31</f>
        <v>200</v>
      </c>
      <c r="H47" s="97">
        <f t="shared" si="14"/>
        <v>200</v>
      </c>
      <c r="I47" s="97">
        <f t="shared" si="14"/>
        <v>200</v>
      </c>
      <c r="J47" s="97">
        <f t="shared" si="14"/>
        <v>200</v>
      </c>
      <c r="L47" s="26" t="s">
        <v>199</v>
      </c>
    </row>
    <row r="48" spans="2:15" s="26" customFormat="1" ht="13.8" x14ac:dyDescent="0.3">
      <c r="B48" s="26" t="s">
        <v>152</v>
      </c>
      <c r="E48" s="97">
        <f>-SUM(E34:E36)</f>
        <v>-150</v>
      </c>
      <c r="F48" s="97">
        <f t="shared" ref="F48:J48" si="15">-SUM(F34:F36)</f>
        <v>0</v>
      </c>
      <c r="G48" s="97">
        <f t="shared" si="15"/>
        <v>0</v>
      </c>
      <c r="H48" s="97">
        <f t="shared" si="15"/>
        <v>0</v>
      </c>
      <c r="I48" s="97">
        <f t="shared" si="15"/>
        <v>0</v>
      </c>
      <c r="J48" s="97">
        <f t="shared" ca="1" si="15"/>
        <v>10</v>
      </c>
      <c r="L48" s="26" t="s">
        <v>200</v>
      </c>
    </row>
    <row r="49" spans="2:12" s="26" customFormat="1" ht="13.8" x14ac:dyDescent="0.3">
      <c r="B49" s="26" t="s">
        <v>30</v>
      </c>
      <c r="E49" s="119">
        <f>'Invoer Scenario Basis'!E49</f>
        <v>-40</v>
      </c>
      <c r="F49" s="119">
        <f>'Invoer Scenario Basis'!F49</f>
        <v>-10</v>
      </c>
      <c r="G49" s="119">
        <f>'Invoer Scenario Basis'!G49</f>
        <v>0</v>
      </c>
      <c r="H49" s="119">
        <f>'Invoer Scenario Basis'!H49</f>
        <v>0</v>
      </c>
      <c r="I49" s="119">
        <f>'Invoer Scenario Basis'!I49</f>
        <v>0</v>
      </c>
      <c r="J49" s="119">
        <f>'Invoer Scenario Basis'!J49</f>
        <v>50</v>
      </c>
      <c r="L49" s="26" t="s">
        <v>81</v>
      </c>
    </row>
    <row r="50" spans="2:12" s="26" customFormat="1" ht="13.8" x14ac:dyDescent="0.3">
      <c r="E50" s="97"/>
      <c r="F50" s="97"/>
      <c r="G50" s="97"/>
      <c r="H50" s="97"/>
      <c r="I50" s="97"/>
      <c r="J50" s="97"/>
    </row>
    <row r="51" spans="2:12" s="26" customFormat="1" ht="13.8" x14ac:dyDescent="0.3">
      <c r="B51" s="26" t="s">
        <v>195</v>
      </c>
      <c r="E51" s="119">
        <f>Dashboard!F8</f>
        <v>-1600</v>
      </c>
      <c r="F51" s="105"/>
      <c r="G51" s="105"/>
      <c r="H51" s="105"/>
      <c r="I51" s="105"/>
      <c r="J51" s="105"/>
      <c r="L51" s="26" t="s">
        <v>82</v>
      </c>
    </row>
    <row r="52" spans="2:12" s="26" customFormat="1" ht="13.8" x14ac:dyDescent="0.3">
      <c r="B52" s="26" t="s">
        <v>191</v>
      </c>
      <c r="E52" s="105"/>
      <c r="F52" s="105"/>
      <c r="G52" s="105"/>
      <c r="H52" s="105"/>
      <c r="I52" s="105"/>
      <c r="J52" s="119">
        <f>Dashboard!G8</f>
        <v>300</v>
      </c>
      <c r="L52" s="26" t="s">
        <v>82</v>
      </c>
    </row>
    <row r="53" spans="2:12" s="26" customFormat="1" ht="13.8" x14ac:dyDescent="0.3">
      <c r="B53" s="26" t="s">
        <v>193</v>
      </c>
      <c r="E53" s="97">
        <f>E16</f>
        <v>450</v>
      </c>
      <c r="F53" s="105"/>
      <c r="G53" s="105"/>
      <c r="H53" s="105"/>
      <c r="I53" s="105"/>
      <c r="J53" s="105"/>
      <c r="L53" s="26" t="str">
        <f>"Kopie regel "&amp;ROW(L16)&amp;". Verkoopopbrengst oude investering jaar 0 als gevolg van nieuwe investering"</f>
        <v>Kopie regel 16. Verkoopopbrengst oude investering jaar 0 als gevolg van nieuwe investering</v>
      </c>
    </row>
    <row r="54" spans="2:12" s="26" customFormat="1" ht="13.8" x14ac:dyDescent="0.3">
      <c r="B54" s="26" t="s">
        <v>187</v>
      </c>
      <c r="E54" s="105"/>
      <c r="F54" s="105"/>
      <c r="G54" s="105"/>
      <c r="H54" s="105"/>
      <c r="I54" s="105"/>
      <c r="J54" s="97">
        <f>-J14</f>
        <v>-50</v>
      </c>
      <c r="L54" s="26" t="str">
        <f>"Kopie regel "&amp;ROW(L14)&amp;". Restwaarde/verkoopopbrengst van oude investering die niet gerealiseerd wordt als gevolg van aanschaf nieuwe investering (en verkoop oude investering op tijdstip 0)"</f>
        <v>Kopie regel 14. Restwaarde/verkoopopbrengst van oude investering die niet gerealiseerd wordt als gevolg van aanschaf nieuwe investering (en verkoop oude investering op tijdstip 0)</v>
      </c>
    </row>
    <row r="55" spans="2:12" s="26" customFormat="1" ht="13.8" x14ac:dyDescent="0.3">
      <c r="E55" s="97"/>
      <c r="F55" s="97"/>
      <c r="G55" s="97"/>
      <c r="H55" s="97"/>
      <c r="I55" s="97"/>
      <c r="J55" s="97"/>
    </row>
    <row r="56" spans="2:12" s="28" customFormat="1" thickBot="1" x14ac:dyDescent="0.35">
      <c r="B56" s="28" t="s">
        <v>31</v>
      </c>
      <c r="E56" s="103">
        <f>SUM(E45:E55)</f>
        <v>-1602.5</v>
      </c>
      <c r="F56" s="103">
        <f t="shared" ref="F56:J56" si="16">SUM(F45:F55)</f>
        <v>827.5</v>
      </c>
      <c r="G56" s="103">
        <f t="shared" si="16"/>
        <v>852.5</v>
      </c>
      <c r="H56" s="103">
        <f t="shared" si="16"/>
        <v>837.5</v>
      </c>
      <c r="I56" s="103">
        <f t="shared" si="16"/>
        <v>837.5</v>
      </c>
      <c r="J56" s="103">
        <f t="shared" ca="1" si="16"/>
        <v>1177.5</v>
      </c>
    </row>
    <row r="57" spans="2:12" s="26" customFormat="1" thickTop="1" x14ac:dyDescent="0.3">
      <c r="E57" s="97"/>
      <c r="F57" s="97"/>
      <c r="G57" s="97"/>
      <c r="H57" s="97"/>
      <c r="I57" s="97"/>
      <c r="J57" s="97"/>
    </row>
    <row r="58" spans="2:12" s="26" customFormat="1" ht="13.8" x14ac:dyDescent="0.3">
      <c r="B58" s="26" t="s">
        <v>35</v>
      </c>
      <c r="E58" s="97">
        <f>E56</f>
        <v>-1602.5</v>
      </c>
      <c r="F58" s="97">
        <f ca="1">F56+OFFSET(F58,0,-1)</f>
        <v>-775</v>
      </c>
      <c r="G58" s="97">
        <f t="shared" ref="G58:J58" ca="1" si="17">G56+OFFSET(G58,0,-1)</f>
        <v>77.5</v>
      </c>
      <c r="H58" s="97">
        <f t="shared" ca="1" si="17"/>
        <v>915</v>
      </c>
      <c r="I58" s="97">
        <f t="shared" ca="1" si="17"/>
        <v>1752.5</v>
      </c>
      <c r="J58" s="97">
        <f t="shared" ca="1" si="17"/>
        <v>2930</v>
      </c>
    </row>
    <row r="59" spans="2:12" s="26" customFormat="1" ht="13.8" x14ac:dyDescent="0.3">
      <c r="B59" s="26" t="s">
        <v>37</v>
      </c>
      <c r="E59" s="97">
        <f t="shared" ref="E59:J59" si="18">E56*E70</f>
        <v>-1602.5</v>
      </c>
      <c r="F59" s="97">
        <f t="shared" si="18"/>
        <v>725.87719298245611</v>
      </c>
      <c r="G59" s="97">
        <f t="shared" si="18"/>
        <v>655.97106802092935</v>
      </c>
      <c r="H59" s="97">
        <f t="shared" si="18"/>
        <v>565.28864481918845</v>
      </c>
      <c r="I59" s="97">
        <f t="shared" si="18"/>
        <v>495.86723229753363</v>
      </c>
      <c r="J59" s="97">
        <f t="shared" ca="1" si="18"/>
        <v>611.55660228368242</v>
      </c>
    </row>
    <row r="60" spans="2:12" s="26" customFormat="1" ht="13.8" x14ac:dyDescent="0.3">
      <c r="B60" s="26" t="s">
        <v>38</v>
      </c>
      <c r="E60" s="97">
        <f>E59</f>
        <v>-1602.5</v>
      </c>
      <c r="F60" s="97">
        <f ca="1">F59+OFFSET(F60,0,-1)</f>
        <v>-876.62280701754389</v>
      </c>
      <c r="G60" s="97">
        <f t="shared" ref="G60:J60" ca="1" si="19">G59+OFFSET(G60,0,-1)</f>
        <v>-220.65173899661454</v>
      </c>
      <c r="H60" s="97">
        <f t="shared" ca="1" si="19"/>
        <v>344.63690582257391</v>
      </c>
      <c r="I60" s="97">
        <f t="shared" ca="1" si="19"/>
        <v>840.50413812010754</v>
      </c>
      <c r="J60" s="97">
        <f t="shared" ca="1" si="19"/>
        <v>1452.0607404037901</v>
      </c>
    </row>
    <row r="61" spans="2:12" s="26" customFormat="1" ht="13.8" x14ac:dyDescent="0.3">
      <c r="E61" s="97"/>
      <c r="F61" s="97"/>
      <c r="G61" s="97"/>
      <c r="H61" s="97"/>
      <c r="I61" s="97"/>
      <c r="J61" s="97"/>
    </row>
    <row r="62" spans="2:12" s="26" customFormat="1" ht="13.8" x14ac:dyDescent="0.3">
      <c r="B62" s="26" t="s">
        <v>34</v>
      </c>
      <c r="E62" s="97">
        <f ca="1">SUM(E59:J59)</f>
        <v>1452.0607404037901</v>
      </c>
      <c r="F62" s="97"/>
      <c r="G62" s="97"/>
      <c r="H62" s="97"/>
      <c r="I62" s="97"/>
      <c r="J62" s="97"/>
    </row>
    <row r="63" spans="2:12" s="26" customFormat="1" ht="13.8" x14ac:dyDescent="0.3">
      <c r="B63" s="26" t="s">
        <v>33</v>
      </c>
      <c r="E63" s="38">
        <f ca="1">E77</f>
        <v>1.9090909090909092</v>
      </c>
      <c r="L63" s="26" t="s">
        <v>45</v>
      </c>
    </row>
    <row r="64" spans="2:12" s="26" customFormat="1" ht="13.8" x14ac:dyDescent="0.3">
      <c r="B64" s="26" t="s">
        <v>39</v>
      </c>
      <c r="E64" s="40">
        <f ca="1">E84</f>
        <v>2.3903346388059705</v>
      </c>
      <c r="L64" s="26" t="s">
        <v>46</v>
      </c>
    </row>
    <row r="65" spans="2:15" s="26" customFormat="1" ht="13.8" x14ac:dyDescent="0.3">
      <c r="B65" s="26" t="s">
        <v>40</v>
      </c>
      <c r="E65" s="29">
        <f ca="1">IRR(E56:J56)</f>
        <v>0.45813806852369221</v>
      </c>
      <c r="L65" s="26" t="s">
        <v>50</v>
      </c>
    </row>
    <row r="66" spans="2:15" s="26" customFormat="1" ht="13.8" x14ac:dyDescent="0.3"/>
    <row r="67" spans="2:15" s="2" customFormat="1" x14ac:dyDescent="0.3">
      <c r="B67" s="87" t="s">
        <v>67</v>
      </c>
      <c r="C67" s="88"/>
      <c r="D67" s="87"/>
      <c r="E67" s="88">
        <f t="shared" ref="E67:J67" si="20">E19</f>
        <v>2026</v>
      </c>
      <c r="F67" s="88">
        <f t="shared" si="20"/>
        <v>2027</v>
      </c>
      <c r="G67" s="88">
        <f t="shared" si="20"/>
        <v>2028</v>
      </c>
      <c r="H67" s="88">
        <f t="shared" si="20"/>
        <v>2029</v>
      </c>
      <c r="I67" s="88">
        <f t="shared" si="20"/>
        <v>2030</v>
      </c>
      <c r="J67" s="88">
        <f t="shared" si="20"/>
        <v>2031</v>
      </c>
      <c r="K67" s="30"/>
      <c r="L67" s="36"/>
      <c r="M67" s="9"/>
      <c r="N67" s="9"/>
      <c r="O67" s="12"/>
    </row>
    <row r="68" spans="2:15" s="26" customFormat="1" ht="13.8" outlineLevel="1" x14ac:dyDescent="0.3">
      <c r="E68" s="31"/>
      <c r="F68" s="31"/>
    </row>
    <row r="69" spans="2:15" s="17" customFormat="1" outlineLevel="1" x14ac:dyDescent="0.3">
      <c r="B69" s="33" t="s">
        <v>32</v>
      </c>
      <c r="C69" s="33"/>
      <c r="D69" s="33"/>
      <c r="E69" s="41">
        <f>E67-$E67</f>
        <v>0</v>
      </c>
      <c r="F69" s="41">
        <f t="shared" ref="F69:J69" si="21">F67-$E67</f>
        <v>1</v>
      </c>
      <c r="G69" s="41">
        <f t="shared" si="21"/>
        <v>2</v>
      </c>
      <c r="H69" s="41">
        <f t="shared" si="21"/>
        <v>3</v>
      </c>
      <c r="I69" s="41">
        <f t="shared" si="21"/>
        <v>4</v>
      </c>
      <c r="J69" s="41">
        <f t="shared" si="21"/>
        <v>5</v>
      </c>
      <c r="K69" s="33"/>
      <c r="L69" s="33"/>
    </row>
    <row r="70" spans="2:15" s="26" customFormat="1" ht="13.8" outlineLevel="1" x14ac:dyDescent="0.3">
      <c r="B70" s="26" t="s">
        <v>36</v>
      </c>
      <c r="E70" s="39">
        <f t="shared" ref="E70:J70" si="22">1/(1+$E$8)^E69</f>
        <v>1</v>
      </c>
      <c r="F70" s="39">
        <f t="shared" si="22"/>
        <v>0.8771929824561403</v>
      </c>
      <c r="G70" s="39">
        <f t="shared" si="22"/>
        <v>0.76946752847029842</v>
      </c>
      <c r="H70" s="39">
        <f t="shared" si="22"/>
        <v>0.67497151620201612</v>
      </c>
      <c r="I70" s="39">
        <f t="shared" si="22"/>
        <v>0.59208027737018942</v>
      </c>
      <c r="J70" s="39">
        <f t="shared" si="22"/>
        <v>0.51936866435981521</v>
      </c>
    </row>
    <row r="71" spans="2:15" s="26" customFormat="1" ht="13.8" outlineLevel="1" x14ac:dyDescent="0.3">
      <c r="E71" s="39"/>
      <c r="F71" s="39"/>
      <c r="G71" s="39"/>
      <c r="H71" s="39"/>
      <c r="I71" s="39"/>
      <c r="J71" s="39"/>
    </row>
    <row r="72" spans="2:15" s="26" customFormat="1" ht="13.8" outlineLevel="1" x14ac:dyDescent="0.3">
      <c r="B72" s="26" t="str">
        <f>B58</f>
        <v>Cumulatieve incementele kasstromen</v>
      </c>
      <c r="E72" s="97">
        <f>E58</f>
        <v>-1602.5</v>
      </c>
      <c r="F72" s="97">
        <f t="shared" ref="F72:J72" ca="1" si="23">F58</f>
        <v>-775</v>
      </c>
      <c r="G72" s="97">
        <f t="shared" ca="1" si="23"/>
        <v>77.5</v>
      </c>
      <c r="H72" s="97">
        <f t="shared" ca="1" si="23"/>
        <v>915</v>
      </c>
      <c r="I72" s="97">
        <f t="shared" ca="1" si="23"/>
        <v>1752.5</v>
      </c>
      <c r="J72" s="97">
        <f t="shared" ca="1" si="23"/>
        <v>2930</v>
      </c>
      <c r="L72" s="27"/>
    </row>
    <row r="73" spans="2:15" s="26" customFormat="1" ht="13.8" outlineLevel="1" x14ac:dyDescent="0.3">
      <c r="B73" s="26" t="s">
        <v>41</v>
      </c>
      <c r="E73" s="108"/>
      <c r="F73" s="38">
        <f t="shared" ref="F73:J73" ca="1" si="24">IF(AND(SIGN(OFFSET(F72,0,-1))=-1,SIGN(F72)&gt;-1),-OFFSET(F72,0,-1)/(-OFFSET(F72,0,-1)+F72),0)</f>
        <v>0</v>
      </c>
      <c r="G73" s="38">
        <f t="shared" ca="1" si="24"/>
        <v>0.90909090909090906</v>
      </c>
      <c r="H73" s="38">
        <f t="shared" ca="1" si="24"/>
        <v>0</v>
      </c>
      <c r="I73" s="38">
        <f t="shared" ca="1" si="24"/>
        <v>0</v>
      </c>
      <c r="J73" s="38">
        <f t="shared" ca="1" si="24"/>
        <v>0</v>
      </c>
    </row>
    <row r="74" spans="2:15" s="26" customFormat="1" ht="13.8" outlineLevel="1" x14ac:dyDescent="0.3">
      <c r="B74" s="26" t="s">
        <v>42</v>
      </c>
      <c r="E74" s="38" t="str">
        <f ca="1">IF(J72&lt;0,"nee","ja")</f>
        <v>ja</v>
      </c>
      <c r="F74" s="38"/>
      <c r="G74" s="38"/>
      <c r="H74" s="38"/>
      <c r="I74" s="38"/>
      <c r="J74" s="38"/>
    </row>
    <row r="75" spans="2:15" s="26" customFormat="1" ht="13.8" outlineLevel="1" x14ac:dyDescent="0.3">
      <c r="B75" s="26" t="s">
        <v>44</v>
      </c>
      <c r="E75" s="27">
        <f ca="1">IF(E74="ja",COUNTIF(E72:J72,"&lt;0"),"nvt")</f>
        <v>2</v>
      </c>
      <c r="F75" s="38"/>
      <c r="G75" s="38"/>
      <c r="H75" s="38"/>
      <c r="I75" s="38"/>
      <c r="J75" s="38"/>
    </row>
    <row r="76" spans="2:15" s="26" customFormat="1" ht="13.8" outlineLevel="1" x14ac:dyDescent="0.3">
      <c r="B76" s="26" t="s">
        <v>41</v>
      </c>
      <c r="E76" s="38">
        <f ca="1">INDEX(F73:J73,E75)</f>
        <v>0.90909090909090906</v>
      </c>
      <c r="F76" s="38"/>
      <c r="G76" s="38"/>
      <c r="H76" s="38"/>
      <c r="I76" s="38"/>
      <c r="J76" s="38"/>
    </row>
    <row r="77" spans="2:15" s="26" customFormat="1" ht="13.8" outlineLevel="1" x14ac:dyDescent="0.3">
      <c r="B77" s="26" t="s">
        <v>43</v>
      </c>
      <c r="E77" s="38">
        <f ca="1">IFERROR(E75-1+E76,"nvt")</f>
        <v>1.9090909090909092</v>
      </c>
      <c r="F77" s="38"/>
      <c r="G77" s="38"/>
      <c r="H77" s="38"/>
      <c r="I77" s="38"/>
      <c r="J77" s="38"/>
    </row>
    <row r="78" spans="2:15" s="26" customFormat="1" ht="13.8" outlineLevel="1" x14ac:dyDescent="0.3"/>
    <row r="79" spans="2:15" s="26" customFormat="1" ht="13.8" outlineLevel="1" x14ac:dyDescent="0.3">
      <c r="B79" s="26" t="str">
        <f>B60</f>
        <v>Cumulatieve CW</v>
      </c>
      <c r="E79" s="97">
        <f>E60</f>
        <v>-1602.5</v>
      </c>
      <c r="F79" s="97">
        <f t="shared" ref="F79:J79" ca="1" si="25">F60</f>
        <v>-876.62280701754389</v>
      </c>
      <c r="G79" s="97">
        <f t="shared" ca="1" si="25"/>
        <v>-220.65173899661454</v>
      </c>
      <c r="H79" s="97">
        <f t="shared" ca="1" si="25"/>
        <v>344.63690582257391</v>
      </c>
      <c r="I79" s="97">
        <f t="shared" ca="1" si="25"/>
        <v>840.50413812010754</v>
      </c>
      <c r="J79" s="97">
        <f t="shared" ca="1" si="25"/>
        <v>1452.0607404037901</v>
      </c>
      <c r="L79" s="27"/>
    </row>
    <row r="80" spans="2:15" s="26" customFormat="1" ht="13.8" outlineLevel="1" x14ac:dyDescent="0.3">
      <c r="B80" s="26" t="s">
        <v>41</v>
      </c>
      <c r="E80" s="108"/>
      <c r="F80" s="38">
        <f ca="1">IF(AND(SIGN(OFFSET(F79,0,-1))=-1,SIGN(F79)&gt;-1),-OFFSET(F79,0,-1)/(-OFFSET(F79,0,-1)+F79),0)</f>
        <v>0</v>
      </c>
      <c r="G80" s="38">
        <f t="shared" ref="G80:J80" ca="1" si="26">IF(AND(SIGN(OFFSET(G79,0,-1))=-1,SIGN(G79)&gt;-1),-OFFSET(G79,0,-1)/(-OFFSET(G79,0,-1)+G79),0)</f>
        <v>0</v>
      </c>
      <c r="H80" s="38">
        <f t="shared" ca="1" si="26"/>
        <v>0.39033463880597064</v>
      </c>
      <c r="I80" s="38">
        <f t="shared" ca="1" si="26"/>
        <v>0</v>
      </c>
      <c r="J80" s="38">
        <f t="shared" ca="1" si="26"/>
        <v>0</v>
      </c>
    </row>
    <row r="81" spans="2:15" s="26" customFormat="1" ht="13.8" outlineLevel="1" x14ac:dyDescent="0.3">
      <c r="B81" s="26" t="s">
        <v>42</v>
      </c>
      <c r="E81" s="38" t="str">
        <f ca="1">IF(J79&lt;0,"nee","ja")</f>
        <v>ja</v>
      </c>
      <c r="F81" s="38"/>
      <c r="G81" s="38"/>
      <c r="H81" s="38"/>
      <c r="I81" s="38"/>
      <c r="J81" s="38"/>
    </row>
    <row r="82" spans="2:15" s="26" customFormat="1" ht="13.8" outlineLevel="1" x14ac:dyDescent="0.3">
      <c r="B82" s="26" t="s">
        <v>44</v>
      </c>
      <c r="E82" s="27">
        <f ca="1">IF(E81="ja",COUNTIF(E79:J79,"&lt;0"),"nvt")</f>
        <v>3</v>
      </c>
      <c r="F82" s="38"/>
      <c r="G82" s="38"/>
      <c r="H82" s="38"/>
      <c r="I82" s="38"/>
      <c r="J82" s="38"/>
    </row>
    <row r="83" spans="2:15" s="26" customFormat="1" ht="13.8" outlineLevel="1" x14ac:dyDescent="0.3">
      <c r="B83" s="26" t="s">
        <v>41</v>
      </c>
      <c r="E83" s="38">
        <f ca="1">INDEX(F80:J80,E82)</f>
        <v>0.39033463880597064</v>
      </c>
      <c r="F83" s="38"/>
      <c r="G83" s="38"/>
      <c r="H83" s="38"/>
      <c r="I83" s="38"/>
      <c r="J83" s="38"/>
    </row>
    <row r="84" spans="2:15" s="26" customFormat="1" ht="13.8" outlineLevel="1" x14ac:dyDescent="0.3">
      <c r="B84" s="26" t="s">
        <v>63</v>
      </c>
      <c r="E84" s="38">
        <f ca="1">IFERROR(E82-1+E83,"nvt")</f>
        <v>2.3903346388059705</v>
      </c>
      <c r="F84" s="38"/>
      <c r="G84" s="38"/>
      <c r="H84" s="38"/>
      <c r="I84" s="38"/>
      <c r="J84" s="38"/>
    </row>
    <row r="85" spans="2:15" s="26" customFormat="1" ht="13.8" outlineLevel="1" x14ac:dyDescent="0.3"/>
    <row r="86" spans="2:15" s="26" customFormat="1" ht="13.8" outlineLevel="1" x14ac:dyDescent="0.3">
      <c r="B86" s="32" t="s">
        <v>48</v>
      </c>
    </row>
    <row r="87" spans="2:15" s="26" customFormat="1" ht="13.8" outlineLevel="1" x14ac:dyDescent="0.3">
      <c r="B87" s="26" t="s">
        <v>47</v>
      </c>
      <c r="E87" s="97">
        <f ca="1">NPV(E8,F56:J56)+E56</f>
        <v>1452.0607404037901</v>
      </c>
    </row>
    <row r="88" spans="2:15" s="26" customFormat="1" ht="13.8" outlineLevel="1" x14ac:dyDescent="0.3">
      <c r="B88" s="26" t="s">
        <v>80</v>
      </c>
      <c r="E88" s="97">
        <f ca="1">E62</f>
        <v>1452.0607404037901</v>
      </c>
    </row>
    <row r="89" spans="2:15" s="26" customFormat="1" ht="13.8" outlineLevel="1" x14ac:dyDescent="0.3">
      <c r="B89" s="26" t="s">
        <v>49</v>
      </c>
      <c r="E89" s="26" t="b">
        <f ca="1">ROUND(E87,2)=ROUND(E88,2)</f>
        <v>1</v>
      </c>
    </row>
    <row r="90" spans="2:15" s="26" customFormat="1" ht="13.8" outlineLevel="1" x14ac:dyDescent="0.3"/>
    <row r="91" spans="2:15" s="26" customFormat="1" ht="13.8" x14ac:dyDescent="0.3"/>
    <row r="92" spans="2:15" s="2" customFormat="1" x14ac:dyDescent="0.3">
      <c r="B92" s="87" t="s">
        <v>72</v>
      </c>
      <c r="C92" s="88"/>
      <c r="D92" s="87"/>
      <c r="E92" s="88">
        <f t="shared" ref="E92:J92" si="27">E19</f>
        <v>2026</v>
      </c>
      <c r="F92" s="88">
        <f t="shared" si="27"/>
        <v>2027</v>
      </c>
      <c r="G92" s="88">
        <f t="shared" si="27"/>
        <v>2028</v>
      </c>
      <c r="H92" s="88">
        <f t="shared" si="27"/>
        <v>2029</v>
      </c>
      <c r="I92" s="88">
        <f t="shared" si="27"/>
        <v>2030</v>
      </c>
      <c r="J92" s="88">
        <f t="shared" si="27"/>
        <v>2031</v>
      </c>
      <c r="K92" s="30"/>
      <c r="L92" s="36"/>
      <c r="M92" s="9"/>
      <c r="N92" s="9"/>
      <c r="O92" s="12"/>
    </row>
    <row r="93" spans="2:15" s="26" customFormat="1" ht="13.8" outlineLevel="1" x14ac:dyDescent="0.3">
      <c r="E93" s="31"/>
      <c r="F93" s="31"/>
    </row>
    <row r="94" spans="2:15" s="26" customFormat="1" ht="13.8" outlineLevel="1" x14ac:dyDescent="0.3">
      <c r="B94" s="26" t="s">
        <v>73</v>
      </c>
      <c r="C94" s="97">
        <f>SUM(E94:J94)</f>
        <v>-1300</v>
      </c>
      <c r="D94" s="97"/>
      <c r="E94" s="97">
        <f>E51</f>
        <v>-1600</v>
      </c>
      <c r="F94" s="105"/>
      <c r="G94" s="105"/>
      <c r="H94" s="105"/>
      <c r="I94" s="105"/>
      <c r="J94" s="97">
        <f>J52</f>
        <v>300</v>
      </c>
    </row>
    <row r="95" spans="2:15" s="26" customFormat="1" ht="13.8" outlineLevel="1" x14ac:dyDescent="0.3">
      <c r="B95" s="26" t="s">
        <v>74</v>
      </c>
      <c r="C95" s="44">
        <f>J92-E92</f>
        <v>5</v>
      </c>
      <c r="L95" s="26" t="s">
        <v>78</v>
      </c>
    </row>
    <row r="96" spans="2:15" s="26" customFormat="1" ht="13.8" outlineLevel="1" x14ac:dyDescent="0.3">
      <c r="B96" s="26" t="s">
        <v>75</v>
      </c>
      <c r="C96" s="97">
        <f>C94/C95</f>
        <v>-260</v>
      </c>
      <c r="D96" s="97"/>
      <c r="E96" s="105"/>
      <c r="F96" s="97">
        <f>$C96</f>
        <v>-260</v>
      </c>
      <c r="G96" s="97">
        <f t="shared" ref="G96:J96" si="28">$C96</f>
        <v>-260</v>
      </c>
      <c r="H96" s="97">
        <f t="shared" si="28"/>
        <v>-260</v>
      </c>
      <c r="I96" s="97">
        <f t="shared" si="28"/>
        <v>-260</v>
      </c>
      <c r="J96" s="97">
        <f t="shared" si="28"/>
        <v>-260</v>
      </c>
    </row>
    <row r="97" spans="2:15" s="26" customFormat="1" ht="13.8" outlineLevel="1" x14ac:dyDescent="0.3">
      <c r="B97" s="26" t="s">
        <v>77</v>
      </c>
      <c r="C97" s="97"/>
      <c r="D97" s="97"/>
      <c r="E97" s="105"/>
      <c r="F97" s="97">
        <f>F96</f>
        <v>-260</v>
      </c>
      <c r="G97" s="97">
        <f ca="1">G96+OFFSET(G97,0,-1)</f>
        <v>-520</v>
      </c>
      <c r="H97" s="97">
        <f t="shared" ref="H97:J97" ca="1" si="29">H96+OFFSET(H97,0,-1)</f>
        <v>-780</v>
      </c>
      <c r="I97" s="97">
        <f t="shared" ca="1" si="29"/>
        <v>-1040</v>
      </c>
      <c r="J97" s="97">
        <f t="shared" ca="1" si="29"/>
        <v>-1300</v>
      </c>
    </row>
    <row r="98" spans="2:15" s="26" customFormat="1" ht="13.8" outlineLevel="1" x14ac:dyDescent="0.3">
      <c r="B98" s="26" t="s">
        <v>76</v>
      </c>
      <c r="C98" s="97"/>
      <c r="D98" s="97"/>
      <c r="E98" s="105"/>
      <c r="F98" s="97">
        <f>$E94-F97</f>
        <v>-1340</v>
      </c>
      <c r="G98" s="97">
        <f t="shared" ref="G98:J98" ca="1" si="30">$E94-G97</f>
        <v>-1080</v>
      </c>
      <c r="H98" s="97">
        <f t="shared" ca="1" si="30"/>
        <v>-820</v>
      </c>
      <c r="I98" s="97">
        <f t="shared" ca="1" si="30"/>
        <v>-560</v>
      </c>
      <c r="J98" s="97">
        <f t="shared" ca="1" si="30"/>
        <v>-300</v>
      </c>
    </row>
    <row r="99" spans="2:15" s="26" customFormat="1" ht="13.8" outlineLevel="1" x14ac:dyDescent="0.3">
      <c r="B99" s="26" t="s">
        <v>79</v>
      </c>
      <c r="C99" s="97"/>
      <c r="D99" s="97"/>
      <c r="E99" s="105"/>
      <c r="F99" s="97">
        <f>$C94-F97</f>
        <v>-1040</v>
      </c>
      <c r="G99" s="97">
        <f t="shared" ref="G99:J99" ca="1" si="31">$C94-G97</f>
        <v>-780</v>
      </c>
      <c r="H99" s="97">
        <f t="shared" ca="1" si="31"/>
        <v>-520</v>
      </c>
      <c r="I99" s="97">
        <f t="shared" ca="1" si="31"/>
        <v>-260</v>
      </c>
      <c r="J99" s="97">
        <f t="shared" ca="1" si="31"/>
        <v>0</v>
      </c>
    </row>
    <row r="100" spans="2:15" s="32" customFormat="1" ht="13.8" outlineLevel="1" x14ac:dyDescent="0.3">
      <c r="B100" s="32" t="s">
        <v>69</v>
      </c>
      <c r="C100" s="110"/>
      <c r="D100" s="110"/>
      <c r="E100" s="111"/>
      <c r="F100" s="111"/>
      <c r="G100" s="111"/>
      <c r="H100" s="111"/>
      <c r="I100" s="111"/>
      <c r="J100" s="110">
        <f ca="1">J99</f>
        <v>0</v>
      </c>
      <c r="L100" s="32" t="s">
        <v>144</v>
      </c>
    </row>
    <row r="101" spans="2:15" s="26" customFormat="1" ht="13.8" outlineLevel="1" x14ac:dyDescent="0.3">
      <c r="C101" s="97"/>
      <c r="D101" s="97"/>
      <c r="E101" s="97"/>
      <c r="F101" s="97"/>
      <c r="G101" s="97"/>
      <c r="H101" s="97"/>
      <c r="I101" s="97"/>
      <c r="J101" s="97"/>
    </row>
    <row r="102" spans="2:15" s="26" customFormat="1" ht="13.8" outlineLevel="1" x14ac:dyDescent="0.3">
      <c r="B102" s="26" t="s">
        <v>141</v>
      </c>
      <c r="C102" s="97"/>
      <c r="D102" s="97"/>
      <c r="E102" s="105"/>
      <c r="F102" s="97">
        <f>F30</f>
        <v>-260</v>
      </c>
      <c r="G102" s="97">
        <f t="shared" ref="G102:J102" si="32">G30</f>
        <v>-260</v>
      </c>
      <c r="H102" s="97">
        <f t="shared" si="32"/>
        <v>-260</v>
      </c>
      <c r="I102" s="97">
        <f t="shared" si="32"/>
        <v>-260</v>
      </c>
      <c r="J102" s="97">
        <f t="shared" si="32"/>
        <v>-260</v>
      </c>
      <c r="L102" s="26" t="s">
        <v>155</v>
      </c>
    </row>
    <row r="103" spans="2:15" s="26" customFormat="1" ht="13.8" outlineLevel="1" x14ac:dyDescent="0.3">
      <c r="B103" s="26" t="s">
        <v>143</v>
      </c>
      <c r="C103" s="97"/>
      <c r="D103" s="97"/>
      <c r="E103" s="105"/>
      <c r="F103" s="97">
        <f>F102</f>
        <v>-260</v>
      </c>
      <c r="G103" s="97">
        <f ca="1">G102+OFFSET(G103,0,-1)</f>
        <v>-520</v>
      </c>
      <c r="H103" s="97">
        <f ca="1">H102+OFFSET(H103,0,-1)</f>
        <v>-780</v>
      </c>
      <c r="I103" s="97">
        <f ca="1">I102+OFFSET(I103,0,-1)</f>
        <v>-1040</v>
      </c>
      <c r="J103" s="97">
        <f ca="1">J102+OFFSET(J103,0,-1)</f>
        <v>-1300</v>
      </c>
    </row>
    <row r="104" spans="2:15" s="26" customFormat="1" ht="13.8" outlineLevel="1" x14ac:dyDescent="0.3">
      <c r="B104" s="26" t="s">
        <v>142</v>
      </c>
      <c r="C104" s="97"/>
      <c r="D104" s="97"/>
      <c r="E104" s="105"/>
      <c r="F104" s="97">
        <f>$E94-F103</f>
        <v>-1340</v>
      </c>
      <c r="G104" s="97">
        <f t="shared" ref="G104:J104" ca="1" si="33">$E94-G103</f>
        <v>-1080</v>
      </c>
      <c r="H104" s="97">
        <f t="shared" ca="1" si="33"/>
        <v>-820</v>
      </c>
      <c r="I104" s="97">
        <f t="shared" ca="1" si="33"/>
        <v>-560</v>
      </c>
      <c r="J104" s="97">
        <f t="shared" ca="1" si="33"/>
        <v>-300</v>
      </c>
    </row>
    <row r="105" spans="2:15" s="26" customFormat="1" ht="13.8" outlineLevel="1" x14ac:dyDescent="0.3">
      <c r="B105" s="26" t="s">
        <v>145</v>
      </c>
      <c r="C105" s="97"/>
      <c r="D105" s="97"/>
      <c r="E105" s="105"/>
      <c r="F105" s="105"/>
      <c r="G105" s="105"/>
      <c r="H105" s="105"/>
      <c r="I105" s="105"/>
      <c r="J105" s="97">
        <f>J94</f>
        <v>300</v>
      </c>
    </row>
    <row r="106" spans="2:15" s="26" customFormat="1" ht="13.8" outlineLevel="1" x14ac:dyDescent="0.3">
      <c r="B106" s="26" t="s">
        <v>146</v>
      </c>
      <c r="C106" s="97"/>
      <c r="D106" s="97"/>
      <c r="E106" s="105"/>
      <c r="F106" s="105"/>
      <c r="G106" s="105"/>
      <c r="H106" s="105"/>
      <c r="I106" s="105"/>
      <c r="J106" s="97">
        <f ca="1">SUM(J104:J105)</f>
        <v>0</v>
      </c>
    </row>
    <row r="107" spans="2:15" s="26" customFormat="1" ht="13.8" x14ac:dyDescent="0.3">
      <c r="C107" s="97"/>
      <c r="D107" s="97"/>
      <c r="E107" s="97"/>
      <c r="F107" s="97"/>
      <c r="G107" s="97"/>
      <c r="H107" s="97"/>
      <c r="I107" s="97"/>
      <c r="J107" s="97"/>
    </row>
    <row r="108" spans="2:15" s="2" customFormat="1" x14ac:dyDescent="0.3">
      <c r="B108" s="87" t="s">
        <v>83</v>
      </c>
      <c r="C108" s="88"/>
      <c r="D108" s="87"/>
      <c r="E108" s="88">
        <f t="shared" ref="E108:J108" si="34">E19</f>
        <v>2026</v>
      </c>
      <c r="F108" s="88">
        <f t="shared" si="34"/>
        <v>2027</v>
      </c>
      <c r="G108" s="88">
        <f t="shared" si="34"/>
        <v>2028</v>
      </c>
      <c r="H108" s="88">
        <f t="shared" si="34"/>
        <v>2029</v>
      </c>
      <c r="I108" s="88">
        <f t="shared" si="34"/>
        <v>2030</v>
      </c>
      <c r="J108" s="88">
        <f t="shared" si="34"/>
        <v>2031</v>
      </c>
      <c r="K108" s="30"/>
      <c r="L108" s="36"/>
      <c r="M108" s="9"/>
      <c r="N108" s="9"/>
      <c r="O108" s="12"/>
    </row>
    <row r="109" spans="2:15" s="26" customFormat="1" ht="13.8" outlineLevel="1" x14ac:dyDescent="0.3">
      <c r="E109" s="31"/>
      <c r="F109" s="31"/>
    </row>
    <row r="110" spans="2:15" s="26" customFormat="1" ht="13.8" outlineLevel="1" x14ac:dyDescent="0.3">
      <c r="B110" s="26" t="s">
        <v>68</v>
      </c>
      <c r="C110" s="119">
        <f>Dashboard!H8</f>
        <v>7500</v>
      </c>
      <c r="D110" s="27"/>
      <c r="E110" s="27"/>
      <c r="F110" s="27"/>
      <c r="G110" s="27"/>
      <c r="H110" s="27"/>
      <c r="I110" s="27"/>
      <c r="J110" s="27"/>
      <c r="L110" s="26" t="s">
        <v>86</v>
      </c>
    </row>
    <row r="111" spans="2:15" s="26" customFormat="1" ht="13.8" outlineLevel="1" x14ac:dyDescent="0.3">
      <c r="B111" s="26" t="s">
        <v>84</v>
      </c>
      <c r="C111" s="27">
        <f>COUNT(E108:J108)-1</f>
        <v>5</v>
      </c>
      <c r="D111" s="27"/>
      <c r="E111" s="27"/>
      <c r="F111" s="27"/>
      <c r="G111" s="27"/>
      <c r="H111" s="27"/>
      <c r="I111" s="27"/>
      <c r="J111" s="27"/>
    </row>
    <row r="112" spans="2:15" s="28" customFormat="1" ht="13.8" outlineLevel="1" x14ac:dyDescent="0.3">
      <c r="B112" s="28" t="s">
        <v>85</v>
      </c>
      <c r="C112" s="100">
        <f>C110/C111</f>
        <v>1500</v>
      </c>
      <c r="D112" s="100"/>
      <c r="E112" s="106"/>
      <c r="F112" s="100">
        <f>$C112</f>
        <v>1500</v>
      </c>
      <c r="G112" s="100">
        <f t="shared" ref="G112:J112" si="35">$C112</f>
        <v>1500</v>
      </c>
      <c r="H112" s="100">
        <f t="shared" si="35"/>
        <v>1500</v>
      </c>
      <c r="I112" s="100">
        <f t="shared" si="35"/>
        <v>1500</v>
      </c>
      <c r="J112" s="100">
        <f t="shared" si="35"/>
        <v>1500</v>
      </c>
    </row>
    <row r="113" s="26" customFormat="1" ht="13.8" outlineLevel="1"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row r="186" s="26" customFormat="1" ht="13.8" x14ac:dyDescent="0.3"/>
    <row r="187" s="26" customFormat="1" ht="13.8" x14ac:dyDescent="0.3"/>
    <row r="188" s="26" customFormat="1" ht="13.8" x14ac:dyDescent="0.3"/>
    <row r="189" s="26" customFormat="1" ht="13.8" x14ac:dyDescent="0.3"/>
    <row r="190" s="26" customFormat="1" ht="13.8" x14ac:dyDescent="0.3"/>
    <row r="191" s="26" customFormat="1" ht="13.8" x14ac:dyDescent="0.3"/>
    <row r="192" s="26" customFormat="1" ht="13.8" x14ac:dyDescent="0.3"/>
    <row r="193" s="26" customFormat="1" ht="13.8" x14ac:dyDescent="0.3"/>
    <row r="194" s="26" customFormat="1" ht="13.8" x14ac:dyDescent="0.3"/>
    <row r="195" s="26" customFormat="1" ht="13.8" x14ac:dyDescent="0.3"/>
    <row r="196" s="26" customFormat="1" ht="13.8" x14ac:dyDescent="0.3"/>
    <row r="197" s="26" customFormat="1" ht="13.8" x14ac:dyDescent="0.3"/>
    <row r="198" s="26" customFormat="1" ht="13.8" x14ac:dyDescent="0.3"/>
  </sheetData>
  <conditionalFormatting sqref="E89">
    <cfRule type="expression" dxfId="4" priority="1">
      <formula>$E$89=FALSE</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2C537-4222-436D-8BA2-9C9D1C2C48DE}">
  <dimension ref="B1:O198"/>
  <sheetViews>
    <sheetView showGridLines="0" zoomScale="90" zoomScaleNormal="90" workbookViewId="0">
      <pane ySplit="4" topLeftCell="A5" activePane="bottomLeft" state="frozen"/>
      <selection activeCell="B2" sqref="B2"/>
      <selection pane="bottomLeft" activeCell="A5" sqref="A5"/>
    </sheetView>
  </sheetViews>
  <sheetFormatPr defaultRowHeight="14.4" outlineLevelRow="1" x14ac:dyDescent="0.3"/>
  <cols>
    <col min="1" max="1" width="2.21875" customWidth="1"/>
    <col min="2" max="2" width="33.6640625" customWidth="1"/>
    <col min="3" max="3" width="7.33203125" customWidth="1"/>
    <col min="4" max="4" width="1.5546875" customWidth="1"/>
    <col min="5" max="5" width="10.33203125" bestFit="1" customWidth="1"/>
  </cols>
  <sheetData>
    <row r="1" spans="2:15" ht="8.4" customHeight="1" x14ac:dyDescent="0.3"/>
    <row r="2" spans="2:15" ht="15.6" x14ac:dyDescent="0.3">
      <c r="B2" s="14" t="s">
        <v>221</v>
      </c>
      <c r="C2" s="89"/>
      <c r="D2" s="89"/>
      <c r="E2" s="90"/>
      <c r="F2" s="22"/>
      <c r="G2" s="22"/>
      <c r="H2" s="22"/>
      <c r="I2" s="22"/>
      <c r="J2" s="16" t="s">
        <v>204</v>
      </c>
    </row>
    <row r="3" spans="2:15" x14ac:dyDescent="0.3">
      <c r="B3" s="23"/>
      <c r="C3" s="23"/>
      <c r="D3" s="23"/>
      <c r="E3" s="24"/>
      <c r="F3" s="24"/>
    </row>
    <row r="4" spans="2:15" x14ac:dyDescent="0.3">
      <c r="B4" s="25" t="s">
        <v>1</v>
      </c>
      <c r="C4" s="25"/>
      <c r="D4" s="25"/>
      <c r="E4" s="22"/>
      <c r="F4" s="22"/>
    </row>
    <row r="5" spans="2:15" s="2" customFormat="1" x14ac:dyDescent="0.3">
      <c r="B5" s="87" t="s">
        <v>10</v>
      </c>
      <c r="C5" s="88"/>
      <c r="D5" s="87"/>
      <c r="E5" s="88"/>
      <c r="F5" s="88"/>
      <c r="G5" s="88"/>
      <c r="H5" s="88"/>
      <c r="I5" s="88"/>
      <c r="J5" s="88"/>
      <c r="K5" s="30"/>
      <c r="L5" s="30"/>
      <c r="M5" s="9"/>
      <c r="N5" s="9"/>
      <c r="O5" s="12"/>
    </row>
    <row r="6" spans="2:15" outlineLevel="1" x14ac:dyDescent="0.3">
      <c r="B6" s="26"/>
      <c r="C6" s="26"/>
      <c r="D6" s="26"/>
      <c r="E6" s="31"/>
      <c r="F6" s="31"/>
      <c r="G6" s="26"/>
      <c r="H6" s="26"/>
      <c r="I6" s="26"/>
      <c r="J6" s="26"/>
      <c r="K6" s="26"/>
      <c r="L6" s="26"/>
    </row>
    <row r="7" spans="2:15" outlineLevel="1" x14ac:dyDescent="0.3">
      <c r="B7" s="26" t="s">
        <v>51</v>
      </c>
      <c r="C7" s="26"/>
      <c r="D7" s="26"/>
      <c r="E7" s="46">
        <f>'Invoer Scenario Basis'!E7</f>
        <v>2026</v>
      </c>
      <c r="F7" s="27"/>
      <c r="G7" s="26"/>
      <c r="H7" s="26"/>
      <c r="I7" s="26"/>
      <c r="J7" s="26"/>
      <c r="K7" s="26"/>
      <c r="L7" s="26" t="s">
        <v>81</v>
      </c>
    </row>
    <row r="8" spans="2:15" outlineLevel="1" x14ac:dyDescent="0.3">
      <c r="B8" s="26" t="s">
        <v>15</v>
      </c>
      <c r="C8" s="26"/>
      <c r="D8" s="26"/>
      <c r="E8" s="47">
        <f>Dashboard!E10</f>
        <v>0.17</v>
      </c>
      <c r="F8" s="27"/>
      <c r="G8" s="26"/>
      <c r="H8" s="26"/>
      <c r="I8" s="66" t="s">
        <v>148</v>
      </c>
      <c r="J8" s="26"/>
      <c r="K8" s="26"/>
      <c r="L8" s="26" t="s">
        <v>82</v>
      </c>
    </row>
    <row r="9" spans="2:15" outlineLevel="1" x14ac:dyDescent="0.3">
      <c r="B9" s="26" t="s">
        <v>74</v>
      </c>
      <c r="C9" s="26"/>
      <c r="D9" s="26"/>
      <c r="E9" s="44">
        <f>J11-E11</f>
        <v>5</v>
      </c>
      <c r="F9" s="27"/>
      <c r="G9" s="26"/>
      <c r="H9" s="26"/>
      <c r="I9" s="26"/>
      <c r="J9" s="26"/>
      <c r="K9" s="26"/>
      <c r="L9" s="26"/>
    </row>
    <row r="10" spans="2:15" x14ac:dyDescent="0.3">
      <c r="B10" s="26"/>
      <c r="C10" s="26"/>
      <c r="D10" s="26"/>
      <c r="E10" s="27"/>
      <c r="F10" s="27"/>
      <c r="G10" s="26"/>
      <c r="H10" s="26"/>
      <c r="I10" s="26"/>
      <c r="J10" s="26"/>
      <c r="K10" s="26"/>
      <c r="L10" s="26"/>
    </row>
    <row r="11" spans="2:15" s="2" customFormat="1" x14ac:dyDescent="0.3">
      <c r="B11" s="87" t="s">
        <v>176</v>
      </c>
      <c r="C11" s="88"/>
      <c r="D11" s="87"/>
      <c r="E11" s="88">
        <f>E19</f>
        <v>2026</v>
      </c>
      <c r="F11" s="88">
        <f t="shared" ref="F11:J11" si="0">F19</f>
        <v>2027</v>
      </c>
      <c r="G11" s="88">
        <f t="shared" si="0"/>
        <v>2028</v>
      </c>
      <c r="H11" s="88">
        <f t="shared" si="0"/>
        <v>2029</v>
      </c>
      <c r="I11" s="88">
        <f t="shared" si="0"/>
        <v>2030</v>
      </c>
      <c r="J11" s="88">
        <f t="shared" si="0"/>
        <v>2031</v>
      </c>
      <c r="K11" s="30"/>
      <c r="L11" s="30"/>
      <c r="M11" s="9"/>
      <c r="N11" s="9"/>
      <c r="O11" s="12"/>
    </row>
    <row r="12" spans="2:15" s="17" customFormat="1" outlineLevel="1" x14ac:dyDescent="0.3">
      <c r="B12" s="33"/>
      <c r="C12" s="73"/>
      <c r="D12" s="33"/>
      <c r="E12" s="116"/>
      <c r="F12" s="116"/>
      <c r="G12" s="116"/>
      <c r="H12" s="116"/>
      <c r="I12" s="116"/>
      <c r="J12" s="116"/>
      <c r="K12" s="73"/>
      <c r="L12" s="73"/>
      <c r="M12" s="75"/>
      <c r="N12" s="75"/>
      <c r="O12" s="75"/>
    </row>
    <row r="13" spans="2:15" s="17" customFormat="1" outlineLevel="1" x14ac:dyDescent="0.3">
      <c r="B13" s="33" t="s">
        <v>177</v>
      </c>
      <c r="C13" s="73"/>
      <c r="D13" s="33"/>
      <c r="E13" s="118"/>
      <c r="F13" s="117">
        <f>'Invoer Scenario Basis'!F13</f>
        <v>-60</v>
      </c>
      <c r="G13" s="117">
        <f>'Invoer Scenario Basis'!G13</f>
        <v>-60</v>
      </c>
      <c r="H13" s="117">
        <f>'Invoer Scenario Basis'!H13</f>
        <v>-60</v>
      </c>
      <c r="I13" s="117">
        <f>'Invoer Scenario Basis'!I13</f>
        <v>-60</v>
      </c>
      <c r="J13" s="117">
        <f>'Invoer Scenario Basis'!J13</f>
        <v>-60</v>
      </c>
      <c r="K13" s="73"/>
      <c r="L13" s="26" t="s">
        <v>179</v>
      </c>
      <c r="M13" s="75"/>
      <c r="N13" s="75"/>
      <c r="O13" s="75"/>
    </row>
    <row r="14" spans="2:15" s="17" customFormat="1" outlineLevel="1" x14ac:dyDescent="0.3">
      <c r="B14" s="33" t="s">
        <v>178</v>
      </c>
      <c r="C14" s="73"/>
      <c r="D14" s="33"/>
      <c r="E14" s="118"/>
      <c r="F14" s="118"/>
      <c r="G14" s="118"/>
      <c r="H14" s="118"/>
      <c r="I14" s="118"/>
      <c r="J14" s="117">
        <f>'Invoer Scenario Basis'!J14</f>
        <v>50</v>
      </c>
      <c r="K14" s="73"/>
      <c r="L14" s="26" t="s">
        <v>183</v>
      </c>
      <c r="M14" s="75"/>
      <c r="N14" s="75"/>
      <c r="O14" s="75"/>
    </row>
    <row r="15" spans="2:15" s="17" customFormat="1" outlineLevel="1" x14ac:dyDescent="0.3">
      <c r="B15" s="33" t="s">
        <v>180</v>
      </c>
      <c r="C15" s="73"/>
      <c r="D15" s="33"/>
      <c r="E15" s="118"/>
      <c r="F15" s="118"/>
      <c r="G15" s="118"/>
      <c r="H15" s="118"/>
      <c r="I15" s="118"/>
      <c r="J15" s="117">
        <f>'Invoer Scenario Basis'!J15</f>
        <v>10</v>
      </c>
      <c r="K15" s="73"/>
      <c r="L15" s="26" t="s">
        <v>181</v>
      </c>
      <c r="M15" s="75"/>
      <c r="N15" s="75"/>
      <c r="O15" s="75"/>
    </row>
    <row r="16" spans="2:15" s="17" customFormat="1" outlineLevel="1" x14ac:dyDescent="0.3">
      <c r="B16" s="33" t="s">
        <v>182</v>
      </c>
      <c r="C16" s="73"/>
      <c r="D16" s="33"/>
      <c r="E16" s="117">
        <f>'Invoer Scenario Basis'!E16</f>
        <v>450</v>
      </c>
      <c r="F16" s="118"/>
      <c r="G16" s="118"/>
      <c r="H16" s="118"/>
      <c r="I16" s="118"/>
      <c r="J16" s="118"/>
      <c r="K16" s="73"/>
      <c r="L16" s="26" t="s">
        <v>184</v>
      </c>
      <c r="M16" s="75"/>
      <c r="N16" s="75"/>
      <c r="O16" s="75"/>
    </row>
    <row r="17" spans="2:15" s="17" customFormat="1" outlineLevel="1" x14ac:dyDescent="0.3">
      <c r="B17" s="33" t="s">
        <v>185</v>
      </c>
      <c r="C17" s="73"/>
      <c r="D17" s="33"/>
      <c r="E17" s="117">
        <f>'Invoer Scenario Basis'!E17</f>
        <v>150</v>
      </c>
      <c r="F17" s="118"/>
      <c r="G17" s="118"/>
      <c r="H17" s="118"/>
      <c r="I17" s="118"/>
      <c r="J17" s="118"/>
      <c r="K17" s="73"/>
      <c r="L17" s="26" t="s">
        <v>186</v>
      </c>
      <c r="M17" s="75"/>
      <c r="N17" s="75"/>
      <c r="O17" s="75"/>
    </row>
    <row r="18" spans="2:15" s="17" customFormat="1" x14ac:dyDescent="0.3">
      <c r="B18" s="33"/>
      <c r="C18" s="33"/>
      <c r="D18" s="33"/>
      <c r="E18" s="94"/>
      <c r="F18" s="94"/>
      <c r="G18" s="95"/>
      <c r="H18" s="95"/>
      <c r="I18" s="95"/>
      <c r="J18" s="95"/>
      <c r="K18" s="33"/>
      <c r="L18" s="26"/>
    </row>
    <row r="19" spans="2:15" s="2" customFormat="1" x14ac:dyDescent="0.3">
      <c r="B19" s="87" t="s">
        <v>16</v>
      </c>
      <c r="C19" s="88"/>
      <c r="D19" s="87"/>
      <c r="E19" s="88">
        <f>E7</f>
        <v>2026</v>
      </c>
      <c r="F19" s="88">
        <f>$E19+COLUMN()-COLUMN($E19)</f>
        <v>2027</v>
      </c>
      <c r="G19" s="88">
        <f t="shared" ref="G19:J19" si="1">$E19+COLUMN()-COLUMN($E19)</f>
        <v>2028</v>
      </c>
      <c r="H19" s="88">
        <f t="shared" si="1"/>
        <v>2029</v>
      </c>
      <c r="I19" s="88">
        <f t="shared" si="1"/>
        <v>2030</v>
      </c>
      <c r="J19" s="88">
        <f t="shared" si="1"/>
        <v>2031</v>
      </c>
      <c r="K19" s="30"/>
      <c r="L19" s="36"/>
      <c r="M19" s="9"/>
      <c r="N19" s="9"/>
      <c r="O19" s="12"/>
    </row>
    <row r="20" spans="2:15" s="26" customFormat="1" ht="13.8" x14ac:dyDescent="0.3">
      <c r="E20" s="31"/>
      <c r="F20" s="31"/>
    </row>
    <row r="21" spans="2:15" s="28" customFormat="1" ht="13.8" x14ac:dyDescent="0.3">
      <c r="B21" s="28" t="s">
        <v>150</v>
      </c>
      <c r="E21" s="104"/>
      <c r="F21" s="98">
        <f>F112</f>
        <v>1000</v>
      </c>
      <c r="G21" s="98">
        <f t="shared" ref="G21:J21" si="2">G112</f>
        <v>1000</v>
      </c>
      <c r="H21" s="98">
        <f t="shared" si="2"/>
        <v>1000</v>
      </c>
      <c r="I21" s="98">
        <f t="shared" si="2"/>
        <v>1000</v>
      </c>
      <c r="J21" s="98">
        <f t="shared" si="2"/>
        <v>1000</v>
      </c>
      <c r="L21" s="28" t="s">
        <v>87</v>
      </c>
    </row>
    <row r="22" spans="2:15" s="26" customFormat="1" ht="13.8" x14ac:dyDescent="0.3">
      <c r="E22" s="95"/>
      <c r="F22" s="95"/>
      <c r="G22" s="97"/>
      <c r="H22" s="97"/>
      <c r="I22" s="97"/>
      <c r="J22" s="97"/>
    </row>
    <row r="23" spans="2:15" s="26" customFormat="1" ht="13.8" x14ac:dyDescent="0.3">
      <c r="B23" s="37" t="s">
        <v>20</v>
      </c>
      <c r="C23" s="47">
        <f>Dashboard!I10</f>
        <v>-0.25</v>
      </c>
      <c r="E23" s="105"/>
      <c r="F23" s="97">
        <f>$C23*F21</f>
        <v>-250</v>
      </c>
      <c r="G23" s="97">
        <f t="shared" ref="G23:J23" si="3">$C23*G21</f>
        <v>-250</v>
      </c>
      <c r="H23" s="97">
        <f t="shared" si="3"/>
        <v>-250</v>
      </c>
      <c r="I23" s="97">
        <f t="shared" si="3"/>
        <v>-250</v>
      </c>
      <c r="J23" s="97">
        <f t="shared" si="3"/>
        <v>-250</v>
      </c>
      <c r="L23" s="26" t="s">
        <v>82</v>
      </c>
    </row>
    <row r="24" spans="2:15" s="26" customFormat="1" ht="13.8" x14ac:dyDescent="0.3">
      <c r="B24" s="37" t="s">
        <v>54</v>
      </c>
      <c r="E24" s="105"/>
      <c r="F24" s="119">
        <f>'Invoer Scenario Basis'!F24</f>
        <v>0</v>
      </c>
      <c r="G24" s="119">
        <f>'Invoer Scenario Basis'!G24</f>
        <v>0</v>
      </c>
      <c r="H24" s="119">
        <f>'Invoer Scenario Basis'!H24</f>
        <v>0</v>
      </c>
      <c r="I24" s="119">
        <f>'Invoer Scenario Basis'!I24</f>
        <v>0</v>
      </c>
      <c r="J24" s="119">
        <f>'Invoer Scenario Basis'!J24</f>
        <v>50</v>
      </c>
      <c r="L24" s="26" t="s">
        <v>81</v>
      </c>
    </row>
    <row r="25" spans="2:15" s="28" customFormat="1" ht="13.8" x14ac:dyDescent="0.3">
      <c r="B25" s="28" t="s">
        <v>21</v>
      </c>
      <c r="E25" s="106"/>
      <c r="F25" s="101">
        <f>SUM(F23:F24)</f>
        <v>-250</v>
      </c>
      <c r="G25" s="101">
        <f t="shared" ref="G25:J25" si="4">SUM(G23:G24)</f>
        <v>-250</v>
      </c>
      <c r="H25" s="101">
        <f t="shared" si="4"/>
        <v>-250</v>
      </c>
      <c r="I25" s="101">
        <f t="shared" si="4"/>
        <v>-250</v>
      </c>
      <c r="J25" s="101">
        <f t="shared" si="4"/>
        <v>-200</v>
      </c>
    </row>
    <row r="26" spans="2:15" s="26" customFormat="1" ht="13.8" x14ac:dyDescent="0.3">
      <c r="E26" s="97"/>
      <c r="F26" s="97"/>
      <c r="G26" s="97"/>
      <c r="H26" s="97"/>
      <c r="I26" s="97"/>
      <c r="J26" s="97"/>
    </row>
    <row r="27" spans="2:15" s="26" customFormat="1" ht="13.8" x14ac:dyDescent="0.3">
      <c r="B27" s="37" t="s">
        <v>22</v>
      </c>
      <c r="C27" s="47">
        <f>'Invoer Scenario Basis'!C27</f>
        <v>-0.05</v>
      </c>
      <c r="E27" s="105"/>
      <c r="F27" s="97">
        <f>$C27*F21</f>
        <v>-50</v>
      </c>
      <c r="G27" s="97">
        <f t="shared" ref="G27:J27" si="5">$C27*G21</f>
        <v>-50</v>
      </c>
      <c r="H27" s="97">
        <f t="shared" si="5"/>
        <v>-50</v>
      </c>
      <c r="I27" s="97">
        <f t="shared" si="5"/>
        <v>-50</v>
      </c>
      <c r="J27" s="97">
        <f t="shared" si="5"/>
        <v>-50</v>
      </c>
      <c r="L27" s="26" t="s">
        <v>81</v>
      </c>
    </row>
    <row r="28" spans="2:15" s="26" customFormat="1" ht="13.8" x14ac:dyDescent="0.3">
      <c r="B28" s="37" t="s">
        <v>55</v>
      </c>
      <c r="E28" s="105"/>
      <c r="F28" s="119">
        <f>'Invoer Scenario Basis'!F28</f>
        <v>0</v>
      </c>
      <c r="G28" s="119">
        <f>'Invoer Scenario Basis'!G28</f>
        <v>20</v>
      </c>
      <c r="H28" s="119">
        <f>'Invoer Scenario Basis'!H28</f>
        <v>0</v>
      </c>
      <c r="I28" s="119">
        <f>'Invoer Scenario Basis'!I28</f>
        <v>0</v>
      </c>
      <c r="J28" s="119">
        <f>'Invoer Scenario Basis'!J28</f>
        <v>0</v>
      </c>
      <c r="L28" s="26" t="s">
        <v>81</v>
      </c>
    </row>
    <row r="29" spans="2:15" s="26" customFormat="1" ht="13.8" x14ac:dyDescent="0.3">
      <c r="B29" s="37" t="s">
        <v>149</v>
      </c>
      <c r="E29" s="119">
        <f>'Invoer Scenario Basis'!E29</f>
        <v>-500</v>
      </c>
      <c r="F29" s="119">
        <f>'Invoer Scenario Basis'!F29</f>
        <v>0</v>
      </c>
      <c r="G29" s="119">
        <f>'Invoer Scenario Basis'!G29</f>
        <v>0</v>
      </c>
      <c r="H29" s="119">
        <f>'Invoer Scenario Basis'!H29</f>
        <v>0</v>
      </c>
      <c r="I29" s="119">
        <f>'Invoer Scenario Basis'!I29</f>
        <v>0</v>
      </c>
      <c r="J29" s="119">
        <f>'Invoer Scenario Basis'!J29</f>
        <v>0</v>
      </c>
      <c r="L29" s="26" t="s">
        <v>81</v>
      </c>
    </row>
    <row r="30" spans="2:15" s="26" customFormat="1" ht="13.8" x14ac:dyDescent="0.3">
      <c r="B30" s="37" t="s">
        <v>174</v>
      </c>
      <c r="E30" s="105"/>
      <c r="F30" s="95">
        <f>F96</f>
        <v>-240</v>
      </c>
      <c r="G30" s="95">
        <f t="shared" ref="G30:J30" si="6">G96</f>
        <v>-240</v>
      </c>
      <c r="H30" s="95">
        <f t="shared" si="6"/>
        <v>-240</v>
      </c>
      <c r="I30" s="95">
        <f t="shared" si="6"/>
        <v>-240</v>
      </c>
      <c r="J30" s="95">
        <f t="shared" si="6"/>
        <v>-240</v>
      </c>
      <c r="L30" s="26" t="s">
        <v>173</v>
      </c>
    </row>
    <row r="31" spans="2:15" s="26" customFormat="1" ht="13.8" x14ac:dyDescent="0.3">
      <c r="B31" s="37" t="s">
        <v>175</v>
      </c>
      <c r="E31" s="105"/>
      <c r="F31" s="95">
        <f>-F13</f>
        <v>60</v>
      </c>
      <c r="G31" s="95">
        <f t="shared" ref="G31:J31" si="7">-G13</f>
        <v>60</v>
      </c>
      <c r="H31" s="95">
        <f t="shared" si="7"/>
        <v>60</v>
      </c>
      <c r="I31" s="95">
        <f t="shared" si="7"/>
        <v>60</v>
      </c>
      <c r="J31" s="95">
        <f t="shared" si="7"/>
        <v>60</v>
      </c>
      <c r="L31" s="26" t="str">
        <f>"Kopie regel "&amp;ROW(L13)&amp;". Positieve niet gerealiseserde afschrijvingslasten oude investering"</f>
        <v>Kopie regel 13. Positieve niet gerealiseserde afschrijvingslasten oude investering</v>
      </c>
    </row>
    <row r="32" spans="2:15" s="28" customFormat="1" ht="13.8" x14ac:dyDescent="0.3">
      <c r="B32" s="28" t="s">
        <v>24</v>
      </c>
      <c r="E32" s="101">
        <f>SUM(E27:E31)</f>
        <v>-500</v>
      </c>
      <c r="F32" s="101">
        <f t="shared" ref="F32:J32" si="8">SUM(F27:F31)</f>
        <v>-230</v>
      </c>
      <c r="G32" s="101">
        <f t="shared" si="8"/>
        <v>-210</v>
      </c>
      <c r="H32" s="101">
        <f t="shared" si="8"/>
        <v>-230</v>
      </c>
      <c r="I32" s="101">
        <f t="shared" si="8"/>
        <v>-230</v>
      </c>
      <c r="J32" s="101">
        <f t="shared" si="8"/>
        <v>-230</v>
      </c>
    </row>
    <row r="33" spans="2:15" s="26" customFormat="1" ht="13.8" x14ac:dyDescent="0.3">
      <c r="E33" s="97"/>
      <c r="F33" s="97"/>
      <c r="G33" s="97"/>
      <c r="H33" s="97"/>
      <c r="I33" s="97"/>
      <c r="J33" s="97"/>
    </row>
    <row r="34" spans="2:15" s="26" customFormat="1" ht="13.8" x14ac:dyDescent="0.3">
      <c r="B34" s="76" t="s">
        <v>188</v>
      </c>
      <c r="E34" s="105"/>
      <c r="F34" s="120"/>
      <c r="G34" s="120"/>
      <c r="H34" s="120"/>
      <c r="I34" s="120"/>
      <c r="J34" s="119">
        <f ca="1">J106</f>
        <v>0</v>
      </c>
    </row>
    <row r="35" spans="2:15" s="26" customFormat="1" ht="13.8" x14ac:dyDescent="0.3">
      <c r="B35" s="76" t="s">
        <v>189</v>
      </c>
      <c r="E35" s="97">
        <f>E17</f>
        <v>150</v>
      </c>
      <c r="F35" s="107"/>
      <c r="G35" s="107"/>
      <c r="H35" s="107"/>
      <c r="I35" s="107"/>
      <c r="J35" s="107"/>
      <c r="L35" s="35" t="str">
        <f>"Kopie regel "&amp;ROW(L17)&amp;". Verkoopresultaat oude investering jaat 0 (= inschatting verkoopopbrengst -/- boekwaarde jaar 0)"</f>
        <v>Kopie regel 17. Verkoopresultaat oude investering jaat 0 (= inschatting verkoopopbrengst -/- boekwaarde jaar 0)</v>
      </c>
    </row>
    <row r="36" spans="2:15" s="26" customFormat="1" ht="13.8" x14ac:dyDescent="0.3">
      <c r="B36" s="76" t="s">
        <v>190</v>
      </c>
      <c r="E36" s="105"/>
      <c r="F36" s="107"/>
      <c r="G36" s="107"/>
      <c r="H36" s="107"/>
      <c r="I36" s="107"/>
      <c r="J36" s="95">
        <f>-J15</f>
        <v>-10</v>
      </c>
      <c r="L36" s="35" t="str">
        <f>"Kopie regel "&amp;ROW(L15)&amp;". Verkoopresultaat oude investering laatste jaar (= inschatting verkoopopbrengst -/- boekwaarde)"</f>
        <v>Kopie regel 15. Verkoopresultaat oude investering laatste jaar (= inschatting verkoopopbrengst -/- boekwaarde)</v>
      </c>
    </row>
    <row r="37" spans="2:15" s="26" customFormat="1" ht="13.8" x14ac:dyDescent="0.3">
      <c r="B37" s="37"/>
      <c r="E37" s="97"/>
      <c r="F37" s="119"/>
      <c r="G37" s="119"/>
      <c r="H37" s="119"/>
      <c r="I37" s="119"/>
      <c r="J37" s="119"/>
    </row>
    <row r="38" spans="2:15" s="28" customFormat="1" ht="13.8" x14ac:dyDescent="0.3">
      <c r="B38" s="28" t="s">
        <v>25</v>
      </c>
      <c r="E38" s="100">
        <f>E21+E25+SUM(E32:E37)</f>
        <v>-350</v>
      </c>
      <c r="F38" s="100">
        <f t="shared" ref="F38:J38" si="9">F21+F25+SUM(F32:F37)</f>
        <v>520</v>
      </c>
      <c r="G38" s="100">
        <f t="shared" si="9"/>
        <v>540</v>
      </c>
      <c r="H38" s="100">
        <f t="shared" si="9"/>
        <v>520</v>
      </c>
      <c r="I38" s="100">
        <f t="shared" si="9"/>
        <v>520</v>
      </c>
      <c r="J38" s="100">
        <f t="shared" ca="1" si="9"/>
        <v>560</v>
      </c>
    </row>
    <row r="39" spans="2:15" s="26" customFormat="1" ht="13.8" x14ac:dyDescent="0.3">
      <c r="E39" s="97"/>
      <c r="F39" s="97"/>
      <c r="G39" s="97"/>
      <c r="H39" s="97"/>
      <c r="I39" s="97"/>
      <c r="J39" s="97"/>
    </row>
    <row r="40" spans="2:15" s="26" customFormat="1" ht="13.8" x14ac:dyDescent="0.3">
      <c r="B40" s="26" t="s">
        <v>0</v>
      </c>
      <c r="C40" s="47">
        <f>'Invoer Scenario Basis'!C40</f>
        <v>-0.25</v>
      </c>
      <c r="E40" s="97">
        <f>$C40*E38</f>
        <v>87.5</v>
      </c>
      <c r="F40" s="97">
        <f>$C40*F38</f>
        <v>-130</v>
      </c>
      <c r="G40" s="97">
        <f t="shared" ref="G40:J40" si="10">$C40*G38</f>
        <v>-135</v>
      </c>
      <c r="H40" s="97">
        <f t="shared" si="10"/>
        <v>-130</v>
      </c>
      <c r="I40" s="97">
        <f t="shared" si="10"/>
        <v>-130</v>
      </c>
      <c r="J40" s="97">
        <f t="shared" ca="1" si="10"/>
        <v>-140</v>
      </c>
      <c r="L40" s="26" t="s">
        <v>81</v>
      </c>
    </row>
    <row r="41" spans="2:15" s="28" customFormat="1" thickBot="1" x14ac:dyDescent="0.35">
      <c r="B41" s="28" t="s">
        <v>26</v>
      </c>
      <c r="E41" s="103">
        <f>SUM(E38:E40)</f>
        <v>-262.5</v>
      </c>
      <c r="F41" s="103">
        <f>SUM(F38:F40)</f>
        <v>390</v>
      </c>
      <c r="G41" s="103">
        <f t="shared" ref="G41:J41" si="11">SUM(G38:G40)</f>
        <v>405</v>
      </c>
      <c r="H41" s="103">
        <f t="shared" si="11"/>
        <v>390</v>
      </c>
      <c r="I41" s="103">
        <f t="shared" si="11"/>
        <v>390</v>
      </c>
      <c r="J41" s="103">
        <f t="shared" ca="1" si="11"/>
        <v>420</v>
      </c>
    </row>
    <row r="42" spans="2:15" s="26" customFormat="1" thickTop="1" x14ac:dyDescent="0.3">
      <c r="E42" s="97"/>
      <c r="F42" s="97"/>
      <c r="G42" s="97"/>
      <c r="H42" s="97"/>
      <c r="I42" s="97"/>
      <c r="J42" s="97"/>
    </row>
    <row r="43" spans="2:15" s="2" customFormat="1" x14ac:dyDescent="0.3">
      <c r="B43" s="87" t="s">
        <v>28</v>
      </c>
      <c r="C43" s="88"/>
      <c r="D43" s="87"/>
      <c r="E43" s="88">
        <f t="shared" ref="E43:J43" si="12">E19</f>
        <v>2026</v>
      </c>
      <c r="F43" s="88">
        <f t="shared" si="12"/>
        <v>2027</v>
      </c>
      <c r="G43" s="88">
        <f t="shared" si="12"/>
        <v>2028</v>
      </c>
      <c r="H43" s="88">
        <f t="shared" si="12"/>
        <v>2029</v>
      </c>
      <c r="I43" s="88">
        <f t="shared" si="12"/>
        <v>2030</v>
      </c>
      <c r="J43" s="88">
        <f t="shared" si="12"/>
        <v>2031</v>
      </c>
      <c r="K43" s="30"/>
      <c r="L43" s="36"/>
      <c r="M43" s="9"/>
      <c r="N43" s="9"/>
      <c r="O43" s="12"/>
    </row>
    <row r="44" spans="2:15" s="26" customFormat="1" ht="13.8" x14ac:dyDescent="0.3">
      <c r="E44" s="31"/>
      <c r="F44" s="31"/>
    </row>
    <row r="45" spans="2:15" s="28" customFormat="1" ht="13.8" x14ac:dyDescent="0.3">
      <c r="B45" s="28" t="s">
        <v>26</v>
      </c>
      <c r="E45" s="100">
        <f>E41</f>
        <v>-262.5</v>
      </c>
      <c r="F45" s="100">
        <f t="shared" ref="F45:J45" si="13">F41</f>
        <v>390</v>
      </c>
      <c r="G45" s="100">
        <f t="shared" si="13"/>
        <v>405</v>
      </c>
      <c r="H45" s="100">
        <f t="shared" si="13"/>
        <v>390</v>
      </c>
      <c r="I45" s="100">
        <f t="shared" si="13"/>
        <v>390</v>
      </c>
      <c r="J45" s="100">
        <f t="shared" ca="1" si="13"/>
        <v>420</v>
      </c>
    </row>
    <row r="46" spans="2:15" s="26" customFormat="1" ht="13.8" x14ac:dyDescent="0.3">
      <c r="E46" s="97"/>
      <c r="F46" s="97"/>
      <c r="G46" s="97"/>
      <c r="H46" s="97"/>
      <c r="I46" s="97"/>
      <c r="J46" s="97"/>
    </row>
    <row r="47" spans="2:15" s="26" customFormat="1" ht="13.8" x14ac:dyDescent="0.3">
      <c r="B47" s="26" t="s">
        <v>29</v>
      </c>
      <c r="E47" s="105"/>
      <c r="F47" s="97">
        <f>-F30-F31</f>
        <v>180</v>
      </c>
      <c r="G47" s="97">
        <f t="shared" ref="G47:J47" si="14">-G30-G31</f>
        <v>180</v>
      </c>
      <c r="H47" s="97">
        <f t="shared" si="14"/>
        <v>180</v>
      </c>
      <c r="I47" s="97">
        <f t="shared" si="14"/>
        <v>180</v>
      </c>
      <c r="J47" s="97">
        <f t="shared" si="14"/>
        <v>180</v>
      </c>
      <c r="L47" s="26" t="s">
        <v>199</v>
      </c>
    </row>
    <row r="48" spans="2:15" s="26" customFormat="1" ht="13.8" x14ac:dyDescent="0.3">
      <c r="B48" s="26" t="s">
        <v>152</v>
      </c>
      <c r="E48" s="97">
        <f>-SUM(E34:E36)</f>
        <v>-150</v>
      </c>
      <c r="F48" s="97">
        <f t="shared" ref="F48:J48" si="15">-SUM(F34:F36)</f>
        <v>0</v>
      </c>
      <c r="G48" s="97">
        <f t="shared" si="15"/>
        <v>0</v>
      </c>
      <c r="H48" s="97">
        <f t="shared" si="15"/>
        <v>0</v>
      </c>
      <c r="I48" s="97">
        <f t="shared" si="15"/>
        <v>0</v>
      </c>
      <c r="J48" s="97">
        <f t="shared" ca="1" si="15"/>
        <v>10</v>
      </c>
      <c r="L48" s="26" t="s">
        <v>200</v>
      </c>
    </row>
    <row r="49" spans="2:12" s="26" customFormat="1" ht="13.8" x14ac:dyDescent="0.3">
      <c r="B49" s="26" t="s">
        <v>30</v>
      </c>
      <c r="E49" s="119">
        <f>'Invoer Scenario Basis'!E49</f>
        <v>-40</v>
      </c>
      <c r="F49" s="119">
        <f>'Invoer Scenario Basis'!F49</f>
        <v>-10</v>
      </c>
      <c r="G49" s="119">
        <f>'Invoer Scenario Basis'!G49</f>
        <v>0</v>
      </c>
      <c r="H49" s="119">
        <f>'Invoer Scenario Basis'!H49</f>
        <v>0</v>
      </c>
      <c r="I49" s="119">
        <f>'Invoer Scenario Basis'!I49</f>
        <v>0</v>
      </c>
      <c r="J49" s="119">
        <f>'Invoer Scenario Basis'!J49</f>
        <v>50</v>
      </c>
      <c r="L49" s="26" t="s">
        <v>81</v>
      </c>
    </row>
    <row r="50" spans="2:12" s="26" customFormat="1" ht="13.8" x14ac:dyDescent="0.3">
      <c r="E50" s="97"/>
      <c r="F50" s="97"/>
      <c r="G50" s="97"/>
      <c r="H50" s="97"/>
      <c r="I50" s="97"/>
      <c r="J50" s="97"/>
    </row>
    <row r="51" spans="2:12" s="26" customFormat="1" ht="13.8" x14ac:dyDescent="0.3">
      <c r="B51" s="26" t="s">
        <v>195</v>
      </c>
      <c r="E51" s="119">
        <f>Dashboard!F10</f>
        <v>-1500</v>
      </c>
      <c r="F51" s="105"/>
      <c r="G51" s="105"/>
      <c r="H51" s="105"/>
      <c r="I51" s="105"/>
      <c r="J51" s="105"/>
      <c r="L51" s="26" t="s">
        <v>82</v>
      </c>
    </row>
    <row r="52" spans="2:12" s="26" customFormat="1" ht="13.8" x14ac:dyDescent="0.3">
      <c r="B52" s="26" t="s">
        <v>191</v>
      </c>
      <c r="E52" s="105"/>
      <c r="F52" s="105"/>
      <c r="G52" s="105"/>
      <c r="H52" s="105"/>
      <c r="I52" s="105"/>
      <c r="J52" s="119">
        <f>Dashboard!G10</f>
        <v>300</v>
      </c>
      <c r="L52" s="26" t="s">
        <v>82</v>
      </c>
    </row>
    <row r="53" spans="2:12" s="26" customFormat="1" ht="13.8" x14ac:dyDescent="0.3">
      <c r="B53" s="26" t="s">
        <v>193</v>
      </c>
      <c r="E53" s="97">
        <f>E16</f>
        <v>450</v>
      </c>
      <c r="F53" s="105"/>
      <c r="G53" s="105"/>
      <c r="H53" s="105"/>
      <c r="I53" s="105"/>
      <c r="J53" s="105"/>
      <c r="L53" s="26" t="str">
        <f>"Kopie regel "&amp;ROW(L16)&amp;". Verkoopopbrengst oude investering jaar 0 als gevolg van nieuwe investering"</f>
        <v>Kopie regel 16. Verkoopopbrengst oude investering jaar 0 als gevolg van nieuwe investering</v>
      </c>
    </row>
    <row r="54" spans="2:12" s="26" customFormat="1" ht="13.8" x14ac:dyDescent="0.3">
      <c r="B54" s="26" t="s">
        <v>187</v>
      </c>
      <c r="E54" s="105"/>
      <c r="F54" s="105"/>
      <c r="G54" s="105"/>
      <c r="H54" s="105"/>
      <c r="I54" s="105"/>
      <c r="J54" s="97">
        <f>-J14</f>
        <v>-50</v>
      </c>
      <c r="L54" s="26" t="str">
        <f>"Kopie regel "&amp;ROW(L14)&amp;". Restwaarde/verkoopopbrengst van oude investering die niet gerealiseerd wordt als gevolg van aanschaf nieuwe investering (en verkoop oude investering op tijdstip 0)"</f>
        <v>Kopie regel 14. Restwaarde/verkoopopbrengst van oude investering die niet gerealiseerd wordt als gevolg van aanschaf nieuwe investering (en verkoop oude investering op tijdstip 0)</v>
      </c>
    </row>
    <row r="55" spans="2:12" s="26" customFormat="1" ht="13.8" x14ac:dyDescent="0.3">
      <c r="E55" s="97"/>
      <c r="F55" s="97"/>
      <c r="G55" s="97"/>
      <c r="H55" s="97"/>
      <c r="I55" s="97"/>
      <c r="J55" s="97"/>
    </row>
    <row r="56" spans="2:12" s="28" customFormat="1" thickBot="1" x14ac:dyDescent="0.35">
      <c r="B56" s="28" t="s">
        <v>31</v>
      </c>
      <c r="E56" s="103">
        <f>SUM(E45:E55)</f>
        <v>-1502.5</v>
      </c>
      <c r="F56" s="103">
        <f t="shared" ref="F56:J56" si="16">SUM(F45:F55)</f>
        <v>560</v>
      </c>
      <c r="G56" s="103">
        <f t="shared" si="16"/>
        <v>585</v>
      </c>
      <c r="H56" s="103">
        <f t="shared" si="16"/>
        <v>570</v>
      </c>
      <c r="I56" s="103">
        <f t="shared" si="16"/>
        <v>570</v>
      </c>
      <c r="J56" s="103">
        <f t="shared" ca="1" si="16"/>
        <v>910</v>
      </c>
    </row>
    <row r="57" spans="2:12" s="26" customFormat="1" thickTop="1" x14ac:dyDescent="0.3">
      <c r="E57" s="97"/>
      <c r="F57" s="97"/>
      <c r="G57" s="97"/>
      <c r="H57" s="97"/>
      <c r="I57" s="97"/>
      <c r="J57" s="97"/>
    </row>
    <row r="58" spans="2:12" s="26" customFormat="1" ht="13.8" x14ac:dyDescent="0.3">
      <c r="B58" s="26" t="s">
        <v>35</v>
      </c>
      <c r="E58" s="97">
        <f>E56</f>
        <v>-1502.5</v>
      </c>
      <c r="F58" s="97">
        <f ca="1">F56+OFFSET(F58,0,-1)</f>
        <v>-942.5</v>
      </c>
      <c r="G58" s="97">
        <f t="shared" ref="G58:J58" ca="1" si="17">G56+OFFSET(G58,0,-1)</f>
        <v>-357.5</v>
      </c>
      <c r="H58" s="97">
        <f t="shared" ca="1" si="17"/>
        <v>212.5</v>
      </c>
      <c r="I58" s="97">
        <f t="shared" ca="1" si="17"/>
        <v>782.5</v>
      </c>
      <c r="J58" s="97">
        <f t="shared" ca="1" si="17"/>
        <v>1692.5</v>
      </c>
    </row>
    <row r="59" spans="2:12" s="26" customFormat="1" ht="13.8" x14ac:dyDescent="0.3">
      <c r="B59" s="26" t="s">
        <v>37</v>
      </c>
      <c r="E59" s="97">
        <f t="shared" ref="E59:J59" si="18">E56*E70</f>
        <v>-1502.5</v>
      </c>
      <c r="F59" s="97">
        <f t="shared" si="18"/>
        <v>478.63247863247869</v>
      </c>
      <c r="G59" s="97">
        <f t="shared" si="18"/>
        <v>427.35042735042737</v>
      </c>
      <c r="H59" s="97">
        <f t="shared" si="18"/>
        <v>355.89121716669388</v>
      </c>
      <c r="I59" s="97">
        <f t="shared" si="18"/>
        <v>304.18052749290081</v>
      </c>
      <c r="J59" s="97">
        <f t="shared" ca="1" si="18"/>
        <v>415.06114862579057</v>
      </c>
    </row>
    <row r="60" spans="2:12" s="26" customFormat="1" ht="13.8" x14ac:dyDescent="0.3">
      <c r="B60" s="26" t="s">
        <v>38</v>
      </c>
      <c r="E60" s="97">
        <f>E59</f>
        <v>-1502.5</v>
      </c>
      <c r="F60" s="97">
        <f ca="1">F59+OFFSET(F60,0,-1)</f>
        <v>-1023.8675213675212</v>
      </c>
      <c r="G60" s="97">
        <f t="shared" ref="G60:J60" ca="1" si="19">G59+OFFSET(G60,0,-1)</f>
        <v>-596.51709401709388</v>
      </c>
      <c r="H60" s="97">
        <f t="shared" ca="1" si="19"/>
        <v>-240.6258768504</v>
      </c>
      <c r="I60" s="97">
        <f t="shared" ca="1" si="19"/>
        <v>63.554650642500803</v>
      </c>
      <c r="J60" s="97">
        <f t="shared" ca="1" si="19"/>
        <v>478.61579926829137</v>
      </c>
    </row>
    <row r="61" spans="2:12" s="26" customFormat="1" ht="13.8" x14ac:dyDescent="0.3">
      <c r="E61" s="97"/>
      <c r="F61" s="97"/>
      <c r="G61" s="97"/>
      <c r="H61" s="97"/>
      <c r="I61" s="97"/>
      <c r="J61" s="97"/>
    </row>
    <row r="62" spans="2:12" s="26" customFormat="1" ht="13.8" x14ac:dyDescent="0.3">
      <c r="B62" s="26" t="s">
        <v>34</v>
      </c>
      <c r="E62" s="97">
        <f ca="1">SUM(E59:J59)</f>
        <v>478.61579926829137</v>
      </c>
      <c r="F62" s="97"/>
      <c r="G62" s="97"/>
      <c r="H62" s="97"/>
      <c r="I62" s="97"/>
      <c r="J62" s="97"/>
    </row>
    <row r="63" spans="2:12" s="26" customFormat="1" ht="13.8" x14ac:dyDescent="0.3">
      <c r="B63" s="26" t="s">
        <v>33</v>
      </c>
      <c r="E63" s="38">
        <f ca="1">E77</f>
        <v>2.6271929824561404</v>
      </c>
      <c r="L63" s="26" t="s">
        <v>45</v>
      </c>
    </row>
    <row r="64" spans="2:12" s="26" customFormat="1" ht="13.8" x14ac:dyDescent="0.3">
      <c r="B64" s="26" t="s">
        <v>39</v>
      </c>
      <c r="E64" s="40">
        <f ca="1">E84</f>
        <v>3.7910627246052622</v>
      </c>
      <c r="L64" s="26" t="s">
        <v>46</v>
      </c>
    </row>
    <row r="65" spans="2:15" s="26" customFormat="1" ht="13.8" x14ac:dyDescent="0.3">
      <c r="B65" s="26" t="s">
        <v>40</v>
      </c>
      <c r="E65" s="29">
        <f ca="1">IRR(E56:J56)</f>
        <v>0.29297425004839051</v>
      </c>
      <c r="L65" s="26" t="s">
        <v>50</v>
      </c>
    </row>
    <row r="66" spans="2:15" s="26" customFormat="1" ht="13.8" x14ac:dyDescent="0.3"/>
    <row r="67" spans="2:15" s="2" customFormat="1" x14ac:dyDescent="0.3">
      <c r="B67" s="87" t="s">
        <v>67</v>
      </c>
      <c r="C67" s="88"/>
      <c r="D67" s="87"/>
      <c r="E67" s="88">
        <f t="shared" ref="E67:J67" si="20">E19</f>
        <v>2026</v>
      </c>
      <c r="F67" s="88">
        <f t="shared" si="20"/>
        <v>2027</v>
      </c>
      <c r="G67" s="88">
        <f t="shared" si="20"/>
        <v>2028</v>
      </c>
      <c r="H67" s="88">
        <f t="shared" si="20"/>
        <v>2029</v>
      </c>
      <c r="I67" s="88">
        <f t="shared" si="20"/>
        <v>2030</v>
      </c>
      <c r="J67" s="88">
        <f t="shared" si="20"/>
        <v>2031</v>
      </c>
      <c r="K67" s="30"/>
      <c r="L67" s="36"/>
      <c r="M67" s="9"/>
      <c r="N67" s="9"/>
      <c r="O67" s="12"/>
    </row>
    <row r="68" spans="2:15" s="26" customFormat="1" ht="13.8" outlineLevel="1" x14ac:dyDescent="0.3">
      <c r="E68" s="31"/>
      <c r="F68" s="31"/>
    </row>
    <row r="69" spans="2:15" s="17" customFormat="1" outlineLevel="1" x14ac:dyDescent="0.3">
      <c r="B69" s="33" t="s">
        <v>32</v>
      </c>
      <c r="C69" s="33"/>
      <c r="D69" s="33"/>
      <c r="E69" s="41">
        <f>E67-$E67</f>
        <v>0</v>
      </c>
      <c r="F69" s="41">
        <f t="shared" ref="F69:J69" si="21">F67-$E67</f>
        <v>1</v>
      </c>
      <c r="G69" s="41">
        <f t="shared" si="21"/>
        <v>2</v>
      </c>
      <c r="H69" s="41">
        <f t="shared" si="21"/>
        <v>3</v>
      </c>
      <c r="I69" s="41">
        <f t="shared" si="21"/>
        <v>4</v>
      </c>
      <c r="J69" s="41">
        <f t="shared" si="21"/>
        <v>5</v>
      </c>
      <c r="K69" s="33"/>
      <c r="L69" s="33"/>
    </row>
    <row r="70" spans="2:15" s="26" customFormat="1" ht="13.8" outlineLevel="1" x14ac:dyDescent="0.3">
      <c r="B70" s="26" t="s">
        <v>36</v>
      </c>
      <c r="E70" s="39">
        <f t="shared" ref="E70:J70" si="22">1/(1+$E$8)^E69</f>
        <v>1</v>
      </c>
      <c r="F70" s="39">
        <f t="shared" si="22"/>
        <v>0.85470085470085477</v>
      </c>
      <c r="G70" s="39">
        <f t="shared" si="22"/>
        <v>0.73051355102637161</v>
      </c>
      <c r="H70" s="39">
        <f t="shared" si="22"/>
        <v>0.62437055643279626</v>
      </c>
      <c r="I70" s="39">
        <f t="shared" si="22"/>
        <v>0.53365004823315931</v>
      </c>
      <c r="J70" s="39">
        <f t="shared" si="22"/>
        <v>0.45611115233603361</v>
      </c>
    </row>
    <row r="71" spans="2:15" s="26" customFormat="1" ht="13.8" outlineLevel="1" x14ac:dyDescent="0.3">
      <c r="E71" s="39"/>
      <c r="F71" s="39"/>
      <c r="G71" s="39"/>
      <c r="H71" s="39"/>
      <c r="I71" s="39"/>
      <c r="J71" s="39"/>
    </row>
    <row r="72" spans="2:15" s="26" customFormat="1" ht="13.8" outlineLevel="1" x14ac:dyDescent="0.3">
      <c r="B72" s="26" t="str">
        <f>B58</f>
        <v>Cumulatieve incementele kasstromen</v>
      </c>
      <c r="E72" s="97">
        <f>E58</f>
        <v>-1502.5</v>
      </c>
      <c r="F72" s="97">
        <f t="shared" ref="F72:J72" ca="1" si="23">F58</f>
        <v>-942.5</v>
      </c>
      <c r="G72" s="97">
        <f t="shared" ca="1" si="23"/>
        <v>-357.5</v>
      </c>
      <c r="H72" s="97">
        <f t="shared" ca="1" si="23"/>
        <v>212.5</v>
      </c>
      <c r="I72" s="97">
        <f t="shared" ca="1" si="23"/>
        <v>782.5</v>
      </c>
      <c r="J72" s="97">
        <f t="shared" ca="1" si="23"/>
        <v>1692.5</v>
      </c>
      <c r="L72" s="27"/>
    </row>
    <row r="73" spans="2:15" s="26" customFormat="1" ht="13.8" outlineLevel="1" x14ac:dyDescent="0.3">
      <c r="B73" s="26" t="s">
        <v>41</v>
      </c>
      <c r="E73" s="108"/>
      <c r="F73" s="38">
        <f t="shared" ref="F73:J73" ca="1" si="24">IF(AND(SIGN(OFFSET(F72,0,-1))=-1,SIGN(F72)&gt;-1),-OFFSET(F72,0,-1)/(-OFFSET(F72,0,-1)+F72),0)</f>
        <v>0</v>
      </c>
      <c r="G73" s="38">
        <f t="shared" ca="1" si="24"/>
        <v>0</v>
      </c>
      <c r="H73" s="38">
        <f t="shared" ca="1" si="24"/>
        <v>0.6271929824561403</v>
      </c>
      <c r="I73" s="38">
        <f t="shared" ca="1" si="24"/>
        <v>0</v>
      </c>
      <c r="J73" s="38">
        <f t="shared" ca="1" si="24"/>
        <v>0</v>
      </c>
    </row>
    <row r="74" spans="2:15" s="26" customFormat="1" ht="13.8" outlineLevel="1" x14ac:dyDescent="0.3">
      <c r="B74" s="26" t="s">
        <v>42</v>
      </c>
      <c r="E74" s="38" t="str">
        <f ca="1">IF(J72&lt;0,"nee","ja")</f>
        <v>ja</v>
      </c>
      <c r="F74" s="38"/>
      <c r="G74" s="38"/>
      <c r="H74" s="38"/>
      <c r="I74" s="38"/>
      <c r="J74" s="38"/>
    </row>
    <row r="75" spans="2:15" s="26" customFormat="1" ht="13.8" outlineLevel="1" x14ac:dyDescent="0.3">
      <c r="B75" s="26" t="s">
        <v>44</v>
      </c>
      <c r="E75" s="27">
        <f ca="1">IF(E74="ja",COUNTIF(E72:J72,"&lt;0"),"nvt")</f>
        <v>3</v>
      </c>
      <c r="F75" s="38"/>
      <c r="G75" s="38"/>
      <c r="H75" s="38"/>
      <c r="I75" s="38"/>
      <c r="J75" s="38"/>
    </row>
    <row r="76" spans="2:15" s="26" customFormat="1" ht="13.8" outlineLevel="1" x14ac:dyDescent="0.3">
      <c r="B76" s="26" t="s">
        <v>41</v>
      </c>
      <c r="E76" s="38">
        <f ca="1">INDEX(F73:J73,E75)</f>
        <v>0.6271929824561403</v>
      </c>
      <c r="F76" s="38"/>
      <c r="G76" s="38"/>
      <c r="H76" s="38"/>
      <c r="I76" s="38"/>
      <c r="J76" s="38"/>
    </row>
    <row r="77" spans="2:15" s="26" customFormat="1" ht="13.8" outlineLevel="1" x14ac:dyDescent="0.3">
      <c r="B77" s="26" t="s">
        <v>43</v>
      </c>
      <c r="E77" s="38">
        <f ca="1">IFERROR(E75-1+E76,"nvt")</f>
        <v>2.6271929824561404</v>
      </c>
      <c r="F77" s="38"/>
      <c r="G77" s="38"/>
      <c r="H77" s="38"/>
      <c r="I77" s="38"/>
      <c r="J77" s="38"/>
    </row>
    <row r="78" spans="2:15" s="26" customFormat="1" ht="13.8" outlineLevel="1" x14ac:dyDescent="0.3"/>
    <row r="79" spans="2:15" s="26" customFormat="1" ht="13.8" outlineLevel="1" x14ac:dyDescent="0.3">
      <c r="B79" s="26" t="str">
        <f>B60</f>
        <v>Cumulatieve CW</v>
      </c>
      <c r="E79" s="97">
        <f>E60</f>
        <v>-1502.5</v>
      </c>
      <c r="F79" s="97">
        <f t="shared" ref="F79:J79" ca="1" si="25">F60</f>
        <v>-1023.8675213675212</v>
      </c>
      <c r="G79" s="97">
        <f t="shared" ca="1" si="25"/>
        <v>-596.51709401709388</v>
      </c>
      <c r="H79" s="97">
        <f t="shared" ca="1" si="25"/>
        <v>-240.6258768504</v>
      </c>
      <c r="I79" s="97">
        <f t="shared" ca="1" si="25"/>
        <v>63.554650642500803</v>
      </c>
      <c r="J79" s="97">
        <f t="shared" ca="1" si="25"/>
        <v>478.61579926829137</v>
      </c>
      <c r="L79" s="27"/>
    </row>
    <row r="80" spans="2:15" s="26" customFormat="1" ht="13.8" outlineLevel="1" x14ac:dyDescent="0.3">
      <c r="B80" s="26" t="s">
        <v>41</v>
      </c>
      <c r="E80" s="108"/>
      <c r="F80" s="38">
        <f ca="1">IF(AND(SIGN(OFFSET(F79,0,-1))=-1,SIGN(F79)&gt;-1),-OFFSET(F79,0,-1)/(-OFFSET(F79,0,-1)+F79),0)</f>
        <v>0</v>
      </c>
      <c r="G80" s="38">
        <f t="shared" ref="G80:J80" ca="1" si="26">IF(AND(SIGN(OFFSET(G79,0,-1))=-1,SIGN(G79)&gt;-1),-OFFSET(G79,0,-1)/(-OFFSET(G79,0,-1)+G79),0)</f>
        <v>0</v>
      </c>
      <c r="H80" s="38">
        <f t="shared" ca="1" si="26"/>
        <v>0</v>
      </c>
      <c r="I80" s="38">
        <f t="shared" ca="1" si="26"/>
        <v>0.79106272460526228</v>
      </c>
      <c r="J80" s="38">
        <f t="shared" ca="1" si="26"/>
        <v>0</v>
      </c>
    </row>
    <row r="81" spans="2:15" s="26" customFormat="1" ht="13.8" outlineLevel="1" x14ac:dyDescent="0.3">
      <c r="B81" s="26" t="s">
        <v>42</v>
      </c>
      <c r="E81" s="38" t="str">
        <f ca="1">IF(J79&lt;0,"nee","ja")</f>
        <v>ja</v>
      </c>
      <c r="F81" s="38"/>
      <c r="G81" s="38"/>
      <c r="H81" s="38"/>
      <c r="I81" s="38"/>
      <c r="J81" s="38"/>
    </row>
    <row r="82" spans="2:15" s="26" customFormat="1" ht="13.8" outlineLevel="1" x14ac:dyDescent="0.3">
      <c r="B82" s="26" t="s">
        <v>44</v>
      </c>
      <c r="E82" s="27">
        <f ca="1">IF(E81="ja",COUNTIF(E79:J79,"&lt;0"),"nvt")</f>
        <v>4</v>
      </c>
      <c r="F82" s="38"/>
      <c r="G82" s="38"/>
      <c r="H82" s="38"/>
      <c r="I82" s="38"/>
      <c r="J82" s="38"/>
    </row>
    <row r="83" spans="2:15" s="26" customFormat="1" ht="13.8" outlineLevel="1" x14ac:dyDescent="0.3">
      <c r="B83" s="26" t="s">
        <v>41</v>
      </c>
      <c r="E83" s="38">
        <f ca="1">INDEX(F80:J80,E82)</f>
        <v>0.79106272460526228</v>
      </c>
      <c r="F83" s="38"/>
      <c r="G83" s="38"/>
      <c r="H83" s="38"/>
      <c r="I83" s="38"/>
      <c r="J83" s="38"/>
    </row>
    <row r="84" spans="2:15" s="26" customFormat="1" ht="13.8" outlineLevel="1" x14ac:dyDescent="0.3">
      <c r="B84" s="26" t="s">
        <v>63</v>
      </c>
      <c r="E84" s="38">
        <f ca="1">IFERROR(E82-1+E83,"nvt")</f>
        <v>3.7910627246052622</v>
      </c>
      <c r="F84" s="38"/>
      <c r="G84" s="38"/>
      <c r="H84" s="38"/>
      <c r="I84" s="38"/>
      <c r="J84" s="38"/>
    </row>
    <row r="85" spans="2:15" s="26" customFormat="1" ht="13.8" outlineLevel="1" x14ac:dyDescent="0.3"/>
    <row r="86" spans="2:15" s="26" customFormat="1" ht="13.8" outlineLevel="1" x14ac:dyDescent="0.3">
      <c r="B86" s="32" t="s">
        <v>48</v>
      </c>
    </row>
    <row r="87" spans="2:15" s="26" customFormat="1" ht="13.8" outlineLevel="1" x14ac:dyDescent="0.3">
      <c r="B87" s="26" t="s">
        <v>47</v>
      </c>
      <c r="E87" s="97">
        <f ca="1">NPV(E8,F56:J56)+E56</f>
        <v>478.61579926829108</v>
      </c>
    </row>
    <row r="88" spans="2:15" s="26" customFormat="1" ht="13.8" outlineLevel="1" x14ac:dyDescent="0.3">
      <c r="B88" s="26" t="s">
        <v>80</v>
      </c>
      <c r="E88" s="97">
        <f ca="1">E62</f>
        <v>478.61579926829137</v>
      </c>
    </row>
    <row r="89" spans="2:15" s="26" customFormat="1" ht="13.8" outlineLevel="1" x14ac:dyDescent="0.3">
      <c r="B89" s="26" t="s">
        <v>49</v>
      </c>
      <c r="E89" s="26" t="b">
        <f ca="1">ROUND(E87,2)=ROUND(E88,2)</f>
        <v>1</v>
      </c>
    </row>
    <row r="90" spans="2:15" s="26" customFormat="1" ht="13.8" outlineLevel="1" x14ac:dyDescent="0.3"/>
    <row r="91" spans="2:15" s="26" customFormat="1" ht="13.8" x14ac:dyDescent="0.3"/>
    <row r="92" spans="2:15" s="2" customFormat="1" x14ac:dyDescent="0.3">
      <c r="B92" s="87" t="s">
        <v>72</v>
      </c>
      <c r="C92" s="88"/>
      <c r="D92" s="87"/>
      <c r="E92" s="88">
        <f t="shared" ref="E92:J92" si="27">E19</f>
        <v>2026</v>
      </c>
      <c r="F92" s="88">
        <f t="shared" si="27"/>
        <v>2027</v>
      </c>
      <c r="G92" s="88">
        <f t="shared" si="27"/>
        <v>2028</v>
      </c>
      <c r="H92" s="88">
        <f t="shared" si="27"/>
        <v>2029</v>
      </c>
      <c r="I92" s="88">
        <f t="shared" si="27"/>
        <v>2030</v>
      </c>
      <c r="J92" s="88">
        <f t="shared" si="27"/>
        <v>2031</v>
      </c>
      <c r="K92" s="30"/>
      <c r="L92" s="36"/>
      <c r="M92" s="9"/>
      <c r="N92" s="9"/>
      <c r="O92" s="12"/>
    </row>
    <row r="93" spans="2:15" s="26" customFormat="1" ht="13.8" outlineLevel="1" x14ac:dyDescent="0.3">
      <c r="E93" s="31"/>
      <c r="F93" s="31"/>
    </row>
    <row r="94" spans="2:15" s="26" customFormat="1" ht="13.8" outlineLevel="1" x14ac:dyDescent="0.3">
      <c r="B94" s="26" t="s">
        <v>73</v>
      </c>
      <c r="C94" s="97">
        <f>SUM(E94:J94)</f>
        <v>-1200</v>
      </c>
      <c r="D94" s="97"/>
      <c r="E94" s="97">
        <f>E51</f>
        <v>-1500</v>
      </c>
      <c r="F94" s="105"/>
      <c r="G94" s="105"/>
      <c r="H94" s="105"/>
      <c r="I94" s="105"/>
      <c r="J94" s="97">
        <f>J52</f>
        <v>300</v>
      </c>
    </row>
    <row r="95" spans="2:15" s="26" customFormat="1" ht="13.8" outlineLevel="1" x14ac:dyDescent="0.3">
      <c r="B95" s="26" t="s">
        <v>74</v>
      </c>
      <c r="C95" s="44">
        <f>J92-E92</f>
        <v>5</v>
      </c>
      <c r="L95" s="26" t="s">
        <v>78</v>
      </c>
    </row>
    <row r="96" spans="2:15" s="26" customFormat="1" ht="13.8" outlineLevel="1" x14ac:dyDescent="0.3">
      <c r="B96" s="26" t="s">
        <v>75</v>
      </c>
      <c r="C96" s="97">
        <f>C94/C95</f>
        <v>-240</v>
      </c>
      <c r="D96" s="97"/>
      <c r="E96" s="105"/>
      <c r="F96" s="97">
        <f>$C96</f>
        <v>-240</v>
      </c>
      <c r="G96" s="97">
        <f t="shared" ref="G96:J96" si="28">$C96</f>
        <v>-240</v>
      </c>
      <c r="H96" s="97">
        <f t="shared" si="28"/>
        <v>-240</v>
      </c>
      <c r="I96" s="97">
        <f t="shared" si="28"/>
        <v>-240</v>
      </c>
      <c r="J96" s="97">
        <f t="shared" si="28"/>
        <v>-240</v>
      </c>
    </row>
    <row r="97" spans="2:15" s="26" customFormat="1" ht="13.8" outlineLevel="1" x14ac:dyDescent="0.3">
      <c r="B97" s="26" t="s">
        <v>77</v>
      </c>
      <c r="C97" s="97"/>
      <c r="D97" s="97"/>
      <c r="E97" s="105"/>
      <c r="F97" s="97">
        <f>F96</f>
        <v>-240</v>
      </c>
      <c r="G97" s="97">
        <f ca="1">G96+OFFSET(G97,0,-1)</f>
        <v>-480</v>
      </c>
      <c r="H97" s="97">
        <f t="shared" ref="H97:J97" ca="1" si="29">H96+OFFSET(H97,0,-1)</f>
        <v>-720</v>
      </c>
      <c r="I97" s="97">
        <f t="shared" ca="1" si="29"/>
        <v>-960</v>
      </c>
      <c r="J97" s="97">
        <f t="shared" ca="1" si="29"/>
        <v>-1200</v>
      </c>
    </row>
    <row r="98" spans="2:15" s="26" customFormat="1" ht="13.8" outlineLevel="1" x14ac:dyDescent="0.3">
      <c r="B98" s="26" t="s">
        <v>76</v>
      </c>
      <c r="C98" s="97"/>
      <c r="D98" s="97"/>
      <c r="E98" s="105"/>
      <c r="F98" s="97">
        <f>$E94-F97</f>
        <v>-1260</v>
      </c>
      <c r="G98" s="97">
        <f t="shared" ref="G98:J98" ca="1" si="30">$E94-G97</f>
        <v>-1020</v>
      </c>
      <c r="H98" s="97">
        <f t="shared" ca="1" si="30"/>
        <v>-780</v>
      </c>
      <c r="I98" s="97">
        <f t="shared" ca="1" si="30"/>
        <v>-540</v>
      </c>
      <c r="J98" s="97">
        <f t="shared" ca="1" si="30"/>
        <v>-300</v>
      </c>
    </row>
    <row r="99" spans="2:15" s="26" customFormat="1" ht="13.8" outlineLevel="1" x14ac:dyDescent="0.3">
      <c r="B99" s="26" t="s">
        <v>79</v>
      </c>
      <c r="C99" s="97"/>
      <c r="D99" s="97"/>
      <c r="E99" s="105"/>
      <c r="F99" s="97">
        <f>$C94-F97</f>
        <v>-960</v>
      </c>
      <c r="G99" s="97">
        <f t="shared" ref="G99:J99" ca="1" si="31">$C94-G97</f>
        <v>-720</v>
      </c>
      <c r="H99" s="97">
        <f t="shared" ca="1" si="31"/>
        <v>-480</v>
      </c>
      <c r="I99" s="97">
        <f t="shared" ca="1" si="31"/>
        <v>-240</v>
      </c>
      <c r="J99" s="97">
        <f t="shared" ca="1" si="31"/>
        <v>0</v>
      </c>
    </row>
    <row r="100" spans="2:15" s="32" customFormat="1" ht="13.8" outlineLevel="1" x14ac:dyDescent="0.3">
      <c r="B100" s="32" t="s">
        <v>69</v>
      </c>
      <c r="C100" s="110"/>
      <c r="D100" s="110"/>
      <c r="E100" s="111"/>
      <c r="F100" s="111"/>
      <c r="G100" s="111"/>
      <c r="H100" s="111"/>
      <c r="I100" s="111"/>
      <c r="J100" s="110">
        <f ca="1">J99</f>
        <v>0</v>
      </c>
      <c r="L100" s="32" t="s">
        <v>144</v>
      </c>
    </row>
    <row r="101" spans="2:15" s="26" customFormat="1" ht="13.8" outlineLevel="1" x14ac:dyDescent="0.3">
      <c r="C101" s="97"/>
      <c r="D101" s="97"/>
      <c r="E101" s="97"/>
      <c r="F101" s="97"/>
      <c r="G101" s="97"/>
      <c r="H101" s="97"/>
      <c r="I101" s="97"/>
      <c r="J101" s="97"/>
    </row>
    <row r="102" spans="2:15" s="26" customFormat="1" ht="13.8" outlineLevel="1" x14ac:dyDescent="0.3">
      <c r="B102" s="26" t="s">
        <v>141</v>
      </c>
      <c r="C102" s="97"/>
      <c r="D102" s="97"/>
      <c r="E102" s="105"/>
      <c r="F102" s="97">
        <f>F30</f>
        <v>-240</v>
      </c>
      <c r="G102" s="97">
        <f t="shared" ref="G102:J102" si="32">G30</f>
        <v>-240</v>
      </c>
      <c r="H102" s="97">
        <f t="shared" si="32"/>
        <v>-240</v>
      </c>
      <c r="I102" s="97">
        <f t="shared" si="32"/>
        <v>-240</v>
      </c>
      <c r="J102" s="97">
        <f t="shared" si="32"/>
        <v>-240</v>
      </c>
      <c r="L102" s="26" t="s">
        <v>155</v>
      </c>
    </row>
    <row r="103" spans="2:15" s="26" customFormat="1" ht="13.8" outlineLevel="1" x14ac:dyDescent="0.3">
      <c r="B103" s="26" t="s">
        <v>143</v>
      </c>
      <c r="C103" s="97"/>
      <c r="D103" s="97"/>
      <c r="E103" s="105"/>
      <c r="F103" s="97">
        <f>F102</f>
        <v>-240</v>
      </c>
      <c r="G103" s="97">
        <f ca="1">G102+OFFSET(G103,0,-1)</f>
        <v>-480</v>
      </c>
      <c r="H103" s="97">
        <f ca="1">H102+OFFSET(H103,0,-1)</f>
        <v>-720</v>
      </c>
      <c r="I103" s="97">
        <f ca="1">I102+OFFSET(I103,0,-1)</f>
        <v>-960</v>
      </c>
      <c r="J103" s="97">
        <f ca="1">J102+OFFSET(J103,0,-1)</f>
        <v>-1200</v>
      </c>
    </row>
    <row r="104" spans="2:15" s="26" customFormat="1" ht="13.8" outlineLevel="1" x14ac:dyDescent="0.3">
      <c r="B104" s="26" t="s">
        <v>142</v>
      </c>
      <c r="C104" s="97"/>
      <c r="D104" s="97"/>
      <c r="E104" s="105"/>
      <c r="F104" s="97">
        <f>$E94-F103</f>
        <v>-1260</v>
      </c>
      <c r="G104" s="97">
        <f t="shared" ref="G104:J104" ca="1" si="33">$E94-G103</f>
        <v>-1020</v>
      </c>
      <c r="H104" s="97">
        <f t="shared" ca="1" si="33"/>
        <v>-780</v>
      </c>
      <c r="I104" s="97">
        <f t="shared" ca="1" si="33"/>
        <v>-540</v>
      </c>
      <c r="J104" s="97">
        <f t="shared" ca="1" si="33"/>
        <v>-300</v>
      </c>
    </row>
    <row r="105" spans="2:15" s="26" customFormat="1" ht="13.8" outlineLevel="1" x14ac:dyDescent="0.3">
      <c r="B105" s="26" t="s">
        <v>145</v>
      </c>
      <c r="C105" s="97"/>
      <c r="D105" s="97"/>
      <c r="E105" s="105"/>
      <c r="F105" s="105"/>
      <c r="G105" s="105"/>
      <c r="H105" s="105"/>
      <c r="I105" s="105"/>
      <c r="J105" s="97">
        <f>J94</f>
        <v>300</v>
      </c>
    </row>
    <row r="106" spans="2:15" s="26" customFormat="1" ht="13.8" outlineLevel="1" x14ac:dyDescent="0.3">
      <c r="B106" s="26" t="s">
        <v>146</v>
      </c>
      <c r="C106" s="97"/>
      <c r="D106" s="97"/>
      <c r="E106" s="105"/>
      <c r="F106" s="105"/>
      <c r="G106" s="105"/>
      <c r="H106" s="105"/>
      <c r="I106" s="105"/>
      <c r="J106" s="97">
        <f ca="1">SUM(J104:J105)</f>
        <v>0</v>
      </c>
    </row>
    <row r="107" spans="2:15" s="26" customFormat="1" ht="13.8" x14ac:dyDescent="0.3">
      <c r="C107" s="97"/>
      <c r="D107" s="97"/>
      <c r="E107" s="97"/>
      <c r="F107" s="97"/>
      <c r="G107" s="97"/>
      <c r="H107" s="97"/>
      <c r="I107" s="97"/>
      <c r="J107" s="97"/>
    </row>
    <row r="108" spans="2:15" s="2" customFormat="1" x14ac:dyDescent="0.3">
      <c r="B108" s="87" t="s">
        <v>83</v>
      </c>
      <c r="C108" s="88"/>
      <c r="D108" s="87"/>
      <c r="E108" s="88">
        <f t="shared" ref="E108:J108" si="34">E19</f>
        <v>2026</v>
      </c>
      <c r="F108" s="88">
        <f t="shared" si="34"/>
        <v>2027</v>
      </c>
      <c r="G108" s="88">
        <f t="shared" si="34"/>
        <v>2028</v>
      </c>
      <c r="H108" s="88">
        <f t="shared" si="34"/>
        <v>2029</v>
      </c>
      <c r="I108" s="88">
        <f t="shared" si="34"/>
        <v>2030</v>
      </c>
      <c r="J108" s="88">
        <f t="shared" si="34"/>
        <v>2031</v>
      </c>
      <c r="K108" s="30"/>
      <c r="L108" s="36"/>
      <c r="M108" s="9"/>
      <c r="N108" s="9"/>
      <c r="O108" s="12"/>
    </row>
    <row r="109" spans="2:15" s="26" customFormat="1" ht="13.8" outlineLevel="1" x14ac:dyDescent="0.3">
      <c r="E109" s="31"/>
      <c r="F109" s="31"/>
    </row>
    <row r="110" spans="2:15" s="26" customFormat="1" ht="13.8" outlineLevel="1" x14ac:dyDescent="0.3">
      <c r="B110" s="26" t="s">
        <v>68</v>
      </c>
      <c r="C110" s="119">
        <f>Dashboard!H10</f>
        <v>5000</v>
      </c>
      <c r="D110" s="27"/>
      <c r="E110" s="27"/>
      <c r="F110" s="27"/>
      <c r="G110" s="27"/>
      <c r="H110" s="27"/>
      <c r="I110" s="27"/>
      <c r="J110" s="27"/>
      <c r="L110" s="26" t="s">
        <v>86</v>
      </c>
    </row>
    <row r="111" spans="2:15" s="26" customFormat="1" ht="13.8" outlineLevel="1" x14ac:dyDescent="0.3">
      <c r="B111" s="26" t="s">
        <v>84</v>
      </c>
      <c r="C111" s="27">
        <f>COUNT(E108:J108)-1</f>
        <v>5</v>
      </c>
      <c r="D111" s="27"/>
      <c r="E111" s="27"/>
      <c r="F111" s="27"/>
      <c r="G111" s="27"/>
      <c r="H111" s="27"/>
      <c r="I111" s="27"/>
      <c r="J111" s="27"/>
    </row>
    <row r="112" spans="2:15" s="28" customFormat="1" ht="13.8" outlineLevel="1" x14ac:dyDescent="0.3">
      <c r="B112" s="28" t="s">
        <v>85</v>
      </c>
      <c r="C112" s="100">
        <f>C110/C111</f>
        <v>1000</v>
      </c>
      <c r="D112" s="100"/>
      <c r="E112" s="106"/>
      <c r="F112" s="100">
        <f>$C112</f>
        <v>1000</v>
      </c>
      <c r="G112" s="100">
        <f t="shared" ref="G112:J112" si="35">$C112</f>
        <v>1000</v>
      </c>
      <c r="H112" s="100">
        <f t="shared" si="35"/>
        <v>1000</v>
      </c>
      <c r="I112" s="100">
        <f t="shared" si="35"/>
        <v>1000</v>
      </c>
      <c r="J112" s="100">
        <f t="shared" si="35"/>
        <v>1000</v>
      </c>
    </row>
    <row r="113" s="26" customFormat="1" ht="13.8" outlineLevel="1"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row r="186" s="26" customFormat="1" ht="13.8" x14ac:dyDescent="0.3"/>
    <row r="187" s="26" customFormat="1" ht="13.8" x14ac:dyDescent="0.3"/>
    <row r="188" s="26" customFormat="1" ht="13.8" x14ac:dyDescent="0.3"/>
    <row r="189" s="26" customFormat="1" ht="13.8" x14ac:dyDescent="0.3"/>
    <row r="190" s="26" customFormat="1" ht="13.8" x14ac:dyDescent="0.3"/>
    <row r="191" s="26" customFormat="1" ht="13.8" x14ac:dyDescent="0.3"/>
    <row r="192" s="26" customFormat="1" ht="13.8" x14ac:dyDescent="0.3"/>
    <row r="193" s="26" customFormat="1" ht="13.8" x14ac:dyDescent="0.3"/>
    <row r="194" s="26" customFormat="1" ht="13.8" x14ac:dyDescent="0.3"/>
    <row r="195" s="26" customFormat="1" ht="13.8" x14ac:dyDescent="0.3"/>
    <row r="196" s="26" customFormat="1" ht="13.8" x14ac:dyDescent="0.3"/>
    <row r="197" s="26" customFormat="1" ht="13.8" x14ac:dyDescent="0.3"/>
    <row r="198" s="26" customFormat="1" ht="13.8" x14ac:dyDescent="0.3"/>
  </sheetData>
  <conditionalFormatting sqref="E89">
    <cfRule type="expression" dxfId="0" priority="1">
      <formula>$E$89=FALSE</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9538D-46D1-474D-B4C0-DCFD9538FCA6}">
  <dimension ref="B1:O202"/>
  <sheetViews>
    <sheetView showGridLines="0" zoomScale="90" zoomScaleNormal="90" workbookViewId="0">
      <pane ySplit="4" topLeftCell="A5" activePane="bottomLeft" state="frozen"/>
      <selection activeCell="B2" sqref="B2"/>
      <selection pane="bottomLeft"/>
    </sheetView>
  </sheetViews>
  <sheetFormatPr defaultRowHeight="14.4" outlineLevelRow="1" x14ac:dyDescent="0.3"/>
  <cols>
    <col min="1" max="1" width="2.21875" customWidth="1"/>
    <col min="2" max="2" width="33.6640625" customWidth="1"/>
    <col min="3" max="3" width="7.33203125" customWidth="1"/>
    <col min="4" max="4" width="1.5546875" customWidth="1"/>
    <col min="5" max="5" width="10.33203125" bestFit="1" customWidth="1"/>
  </cols>
  <sheetData>
    <row r="1" spans="2:15" ht="8.4" customHeight="1" x14ac:dyDescent="0.3"/>
    <row r="2" spans="2:15" ht="15.6" x14ac:dyDescent="0.3">
      <c r="B2" s="14" t="s">
        <v>158</v>
      </c>
      <c r="C2" s="89"/>
      <c r="D2" s="89"/>
      <c r="E2" s="90"/>
      <c r="F2" s="22"/>
      <c r="G2" s="22"/>
      <c r="H2" s="22"/>
      <c r="I2" s="22"/>
      <c r="J2" s="16" t="s">
        <v>204</v>
      </c>
    </row>
    <row r="3" spans="2:15" x14ac:dyDescent="0.3">
      <c r="B3" s="23"/>
      <c r="C3" s="23"/>
      <c r="D3" s="23"/>
      <c r="E3" s="24"/>
      <c r="F3" s="24"/>
    </row>
    <row r="4" spans="2:15" x14ac:dyDescent="0.3">
      <c r="B4" s="25" t="s">
        <v>1</v>
      </c>
      <c r="C4" s="25"/>
      <c r="D4" s="25"/>
      <c r="E4" s="22"/>
      <c r="F4" s="22"/>
    </row>
    <row r="5" spans="2:15" s="2" customFormat="1" x14ac:dyDescent="0.3">
      <c r="B5" s="87" t="s">
        <v>10</v>
      </c>
      <c r="C5" s="88"/>
      <c r="D5" s="87"/>
      <c r="E5" s="88"/>
      <c r="F5" s="88"/>
      <c r="G5" s="88"/>
      <c r="H5" s="88"/>
      <c r="I5" s="88"/>
      <c r="J5" s="88"/>
      <c r="K5" s="30"/>
      <c r="L5" s="30"/>
      <c r="M5" s="9"/>
      <c r="N5" s="9"/>
      <c r="O5" s="12"/>
    </row>
    <row r="6" spans="2:15" outlineLevel="1" x14ac:dyDescent="0.3">
      <c r="B6" s="26"/>
      <c r="C6" s="26"/>
      <c r="D6" s="26"/>
      <c r="E6" s="31"/>
      <c r="F6" s="31"/>
      <c r="G6" s="26"/>
      <c r="H6" s="26"/>
      <c r="I6" s="26"/>
      <c r="J6" s="26"/>
      <c r="K6" s="26"/>
      <c r="L6" s="26"/>
    </row>
    <row r="7" spans="2:15" outlineLevel="1" x14ac:dyDescent="0.3">
      <c r="B7" s="26" t="s">
        <v>51</v>
      </c>
      <c r="C7" s="26"/>
      <c r="D7" s="26"/>
      <c r="E7" s="46">
        <f>'Invoer Scenario Basis'!E7</f>
        <v>2026</v>
      </c>
      <c r="F7" s="27"/>
      <c r="G7" s="26"/>
      <c r="H7" s="26"/>
      <c r="I7" s="26"/>
      <c r="J7" s="26"/>
      <c r="K7" s="26"/>
      <c r="L7" s="26"/>
    </row>
    <row r="8" spans="2:15" outlineLevel="1" x14ac:dyDescent="0.3">
      <c r="B8" s="26" t="s">
        <v>15</v>
      </c>
      <c r="C8" s="26"/>
      <c r="D8" s="26"/>
      <c r="E8" s="58">
        <f>'Invoer Scenario Basis'!E8*(1+$C110)</f>
        <v>0.1</v>
      </c>
      <c r="F8" s="27"/>
      <c r="G8" s="26"/>
      <c r="H8" s="26"/>
      <c r="I8" s="66" t="s">
        <v>148</v>
      </c>
      <c r="J8" s="26"/>
      <c r="K8" s="26"/>
      <c r="L8" s="26" t="s">
        <v>100</v>
      </c>
    </row>
    <row r="9" spans="2:15" outlineLevel="1" x14ac:dyDescent="0.3">
      <c r="B9" s="26" t="s">
        <v>74</v>
      </c>
      <c r="C9" s="26"/>
      <c r="D9" s="26"/>
      <c r="E9" s="44">
        <f>J11-E11</f>
        <v>5</v>
      </c>
      <c r="F9" s="27"/>
      <c r="G9" s="26"/>
      <c r="H9" s="26"/>
      <c r="I9" s="26"/>
      <c r="J9" s="26"/>
      <c r="K9" s="26"/>
      <c r="L9" s="26"/>
    </row>
    <row r="10" spans="2:15" x14ac:dyDescent="0.3">
      <c r="B10" s="26"/>
      <c r="C10" s="26"/>
      <c r="D10" s="26"/>
      <c r="E10" s="27"/>
      <c r="F10" s="27"/>
      <c r="G10" s="26"/>
      <c r="H10" s="26"/>
      <c r="I10" s="26"/>
      <c r="J10" s="26"/>
      <c r="K10" s="26"/>
      <c r="L10" s="26"/>
    </row>
    <row r="11" spans="2:15" s="2" customFormat="1" x14ac:dyDescent="0.3">
      <c r="B11" s="87" t="s">
        <v>176</v>
      </c>
      <c r="C11" s="88"/>
      <c r="D11" s="87"/>
      <c r="E11" s="88">
        <f>E19</f>
        <v>2026</v>
      </c>
      <c r="F11" s="88">
        <f t="shared" ref="F11:J11" si="0">F19</f>
        <v>2027</v>
      </c>
      <c r="G11" s="88">
        <f t="shared" si="0"/>
        <v>2028</v>
      </c>
      <c r="H11" s="88">
        <f t="shared" si="0"/>
        <v>2029</v>
      </c>
      <c r="I11" s="88">
        <f t="shared" si="0"/>
        <v>2030</v>
      </c>
      <c r="J11" s="88">
        <f t="shared" si="0"/>
        <v>2031</v>
      </c>
      <c r="K11" s="30"/>
      <c r="L11" s="30"/>
      <c r="M11" s="9"/>
      <c r="N11" s="9"/>
      <c r="O11" s="12"/>
    </row>
    <row r="12" spans="2:15" s="17" customFormat="1" outlineLevel="1" x14ac:dyDescent="0.3">
      <c r="B12" s="33"/>
      <c r="C12" s="73"/>
      <c r="D12" s="33"/>
      <c r="E12" s="74"/>
      <c r="F12" s="74"/>
      <c r="G12" s="74"/>
      <c r="H12" s="74"/>
      <c r="I12" s="74"/>
      <c r="J12" s="74"/>
      <c r="K12" s="73"/>
      <c r="L12" s="73"/>
      <c r="M12" s="75"/>
      <c r="N12" s="75"/>
      <c r="O12" s="75"/>
    </row>
    <row r="13" spans="2:15" s="17" customFormat="1" outlineLevel="1" x14ac:dyDescent="0.3">
      <c r="B13" s="33" t="s">
        <v>177</v>
      </c>
      <c r="C13" s="73"/>
      <c r="D13" s="33"/>
      <c r="E13" s="118"/>
      <c r="F13" s="117">
        <f>'Invoer Scenario Basis'!F13</f>
        <v>-60</v>
      </c>
      <c r="G13" s="117">
        <f>'Invoer Scenario Basis'!G13</f>
        <v>-60</v>
      </c>
      <c r="H13" s="117">
        <f>'Invoer Scenario Basis'!H13</f>
        <v>-60</v>
      </c>
      <c r="I13" s="117">
        <f>'Invoer Scenario Basis'!I13</f>
        <v>-60</v>
      </c>
      <c r="J13" s="117">
        <f>'Invoer Scenario Basis'!J13</f>
        <v>-60</v>
      </c>
      <c r="K13" s="73"/>
      <c r="L13" s="26" t="s">
        <v>179</v>
      </c>
      <c r="M13" s="75"/>
      <c r="N13" s="75"/>
      <c r="O13" s="75"/>
    </row>
    <row r="14" spans="2:15" s="17" customFormat="1" outlineLevel="1" x14ac:dyDescent="0.3">
      <c r="B14" s="33" t="s">
        <v>178</v>
      </c>
      <c r="C14" s="73"/>
      <c r="D14" s="33"/>
      <c r="E14" s="118"/>
      <c r="F14" s="118"/>
      <c r="G14" s="118"/>
      <c r="H14" s="118"/>
      <c r="I14" s="118"/>
      <c r="J14" s="117">
        <f>'Invoer Scenario Basis'!J14</f>
        <v>50</v>
      </c>
      <c r="K14" s="73"/>
      <c r="L14" s="26" t="s">
        <v>183</v>
      </c>
      <c r="M14" s="75"/>
      <c r="N14" s="75"/>
      <c r="O14" s="75"/>
    </row>
    <row r="15" spans="2:15" s="17" customFormat="1" outlineLevel="1" x14ac:dyDescent="0.3">
      <c r="B15" s="33" t="s">
        <v>180</v>
      </c>
      <c r="C15" s="73"/>
      <c r="D15" s="33"/>
      <c r="E15" s="118"/>
      <c r="F15" s="118"/>
      <c r="G15" s="118"/>
      <c r="H15" s="118"/>
      <c r="I15" s="118"/>
      <c r="J15" s="117">
        <f>'Invoer Scenario Basis'!J15</f>
        <v>10</v>
      </c>
      <c r="K15" s="73"/>
      <c r="L15" s="26" t="s">
        <v>181</v>
      </c>
      <c r="M15" s="75"/>
      <c r="N15" s="75"/>
      <c r="O15" s="75"/>
    </row>
    <row r="16" spans="2:15" s="17" customFormat="1" outlineLevel="1" x14ac:dyDescent="0.3">
      <c r="B16" s="33" t="s">
        <v>182</v>
      </c>
      <c r="C16" s="73"/>
      <c r="D16" s="33"/>
      <c r="E16" s="117">
        <f>'Invoer Scenario Basis'!E16</f>
        <v>450</v>
      </c>
      <c r="F16" s="118"/>
      <c r="G16" s="118"/>
      <c r="H16" s="118"/>
      <c r="I16" s="118"/>
      <c r="J16" s="118"/>
      <c r="K16" s="73"/>
      <c r="L16" s="26" t="s">
        <v>184</v>
      </c>
      <c r="M16" s="75"/>
      <c r="N16" s="75"/>
      <c r="O16" s="75"/>
    </row>
    <row r="17" spans="2:15" s="17" customFormat="1" outlineLevel="1" x14ac:dyDescent="0.3">
      <c r="B17" s="33" t="s">
        <v>185</v>
      </c>
      <c r="C17" s="73"/>
      <c r="D17" s="33"/>
      <c r="E17" s="117">
        <f>'Invoer Scenario Basis'!E17</f>
        <v>150</v>
      </c>
      <c r="F17" s="118"/>
      <c r="G17" s="118"/>
      <c r="H17" s="118"/>
      <c r="I17" s="118"/>
      <c r="J17" s="118"/>
      <c r="K17" s="73"/>
      <c r="L17" s="26" t="s">
        <v>186</v>
      </c>
      <c r="M17" s="75"/>
      <c r="N17" s="75"/>
      <c r="O17" s="75"/>
    </row>
    <row r="18" spans="2:15" s="17" customFormat="1" x14ac:dyDescent="0.3">
      <c r="B18" s="33"/>
      <c r="C18" s="33"/>
      <c r="D18" s="33"/>
      <c r="E18" s="94"/>
      <c r="F18" s="94"/>
      <c r="G18" s="95"/>
      <c r="H18" s="95"/>
      <c r="I18" s="95"/>
      <c r="J18" s="95"/>
      <c r="K18" s="33"/>
      <c r="L18" s="26"/>
    </row>
    <row r="19" spans="2:15" s="2" customFormat="1" x14ac:dyDescent="0.3">
      <c r="B19" s="87" t="s">
        <v>16</v>
      </c>
      <c r="C19" s="88"/>
      <c r="D19" s="87"/>
      <c r="E19" s="88">
        <f>E7</f>
        <v>2026</v>
      </c>
      <c r="F19" s="88">
        <f>$E19+COLUMN()-COLUMN($E19)</f>
        <v>2027</v>
      </c>
      <c r="G19" s="88">
        <f t="shared" ref="G19:J19" si="1">$E19+COLUMN()-COLUMN($E19)</f>
        <v>2028</v>
      </c>
      <c r="H19" s="88">
        <f t="shared" si="1"/>
        <v>2029</v>
      </c>
      <c r="I19" s="88">
        <f t="shared" si="1"/>
        <v>2030</v>
      </c>
      <c r="J19" s="88">
        <f t="shared" si="1"/>
        <v>2031</v>
      </c>
      <c r="K19" s="30"/>
      <c r="L19" s="36"/>
      <c r="M19" s="9"/>
      <c r="N19" s="9"/>
      <c r="O19" s="12"/>
    </row>
    <row r="20" spans="2:15" s="26" customFormat="1" ht="13.8" x14ac:dyDescent="0.3">
      <c r="E20" s="31"/>
      <c r="F20" s="31"/>
    </row>
    <row r="21" spans="2:15" s="28" customFormat="1" ht="13.8" x14ac:dyDescent="0.3">
      <c r="B21" s="28" t="s">
        <v>150</v>
      </c>
      <c r="E21" s="104"/>
      <c r="F21" s="121">
        <f>'Invoer Scenario Basis'!F21*(1+$C$113)</f>
        <v>1225</v>
      </c>
      <c r="G21" s="121">
        <f>'Invoer Scenario Basis'!G21*(1+$C$113)</f>
        <v>1225</v>
      </c>
      <c r="H21" s="121">
        <f>'Invoer Scenario Basis'!H21*(1+$C$113)</f>
        <v>1225</v>
      </c>
      <c r="I21" s="121">
        <f>'Invoer Scenario Basis'!I21*(1+$C$113)</f>
        <v>1225</v>
      </c>
      <c r="J21" s="121">
        <f>'Invoer Scenario Basis'!J21*(1+$C$113)</f>
        <v>1225</v>
      </c>
      <c r="L21" s="28" t="s">
        <v>100</v>
      </c>
    </row>
    <row r="22" spans="2:15" s="26" customFormat="1" ht="13.8" x14ac:dyDescent="0.3">
      <c r="E22" s="95"/>
      <c r="F22" s="95"/>
      <c r="G22" s="97"/>
      <c r="H22" s="97"/>
      <c r="I22" s="97"/>
      <c r="J22" s="97"/>
    </row>
    <row r="23" spans="2:15" s="26" customFormat="1" ht="13.8" x14ac:dyDescent="0.3">
      <c r="B23" s="37" t="s">
        <v>20</v>
      </c>
      <c r="C23" s="58">
        <f>'Invoer Scenario Basis'!C23*(1+$C114)</f>
        <v>-0.25</v>
      </c>
      <c r="E23" s="104"/>
      <c r="F23" s="97">
        <f>$C23*F21</f>
        <v>-306.25</v>
      </c>
      <c r="G23" s="97">
        <f t="shared" ref="G23:J23" si="2">$C23*G21</f>
        <v>-306.25</v>
      </c>
      <c r="H23" s="97">
        <f t="shared" si="2"/>
        <v>-306.25</v>
      </c>
      <c r="I23" s="97">
        <f t="shared" si="2"/>
        <v>-306.25</v>
      </c>
      <c r="J23" s="97">
        <f t="shared" si="2"/>
        <v>-306.25</v>
      </c>
      <c r="L23" s="28" t="s">
        <v>100</v>
      </c>
    </row>
    <row r="24" spans="2:15" s="26" customFormat="1" ht="13.8" x14ac:dyDescent="0.3">
      <c r="B24" s="37" t="s">
        <v>54</v>
      </c>
      <c r="E24" s="104"/>
      <c r="F24" s="119">
        <f>'Invoer Scenario Basis'!F24</f>
        <v>0</v>
      </c>
      <c r="G24" s="119">
        <f>'Invoer Scenario Basis'!G24</f>
        <v>0</v>
      </c>
      <c r="H24" s="119">
        <f>'Invoer Scenario Basis'!H24</f>
        <v>0</v>
      </c>
      <c r="I24" s="119">
        <f>'Invoer Scenario Basis'!I24</f>
        <v>0</v>
      </c>
      <c r="J24" s="119">
        <f>'Invoer Scenario Basis'!J24</f>
        <v>50</v>
      </c>
      <c r="L24" s="35"/>
    </row>
    <row r="25" spans="2:15" s="28" customFormat="1" ht="13.8" x14ac:dyDescent="0.3">
      <c r="B25" s="28" t="s">
        <v>21</v>
      </c>
      <c r="E25" s="104"/>
      <c r="F25" s="101">
        <f>SUM(F23:F24)</f>
        <v>-306.25</v>
      </c>
      <c r="G25" s="101">
        <f t="shared" ref="G25:J25" si="3">SUM(G23:G24)</f>
        <v>-306.25</v>
      </c>
      <c r="H25" s="101">
        <f t="shared" si="3"/>
        <v>-306.25</v>
      </c>
      <c r="I25" s="101">
        <f t="shared" si="3"/>
        <v>-306.25</v>
      </c>
      <c r="J25" s="101">
        <f t="shared" si="3"/>
        <v>-256.25</v>
      </c>
    </row>
    <row r="26" spans="2:15" s="26" customFormat="1" ht="13.8" x14ac:dyDescent="0.3">
      <c r="E26" s="97"/>
      <c r="F26" s="97"/>
      <c r="G26" s="97"/>
      <c r="H26" s="97"/>
      <c r="I26" s="97"/>
      <c r="J26" s="97"/>
    </row>
    <row r="27" spans="2:15" s="26" customFormat="1" ht="13.8" x14ac:dyDescent="0.3">
      <c r="B27" s="37" t="s">
        <v>22</v>
      </c>
      <c r="C27" s="47">
        <f>'Invoer Scenario Basis'!C27</f>
        <v>-0.05</v>
      </c>
      <c r="E27" s="104"/>
      <c r="F27" s="97">
        <f>$C27*F21</f>
        <v>-61.25</v>
      </c>
      <c r="G27" s="97">
        <f t="shared" ref="G27:J27" si="4">$C27*G21</f>
        <v>-61.25</v>
      </c>
      <c r="H27" s="97">
        <f t="shared" si="4"/>
        <v>-61.25</v>
      </c>
      <c r="I27" s="97">
        <f t="shared" si="4"/>
        <v>-61.25</v>
      </c>
      <c r="J27" s="97">
        <f t="shared" si="4"/>
        <v>-61.25</v>
      </c>
    </row>
    <row r="28" spans="2:15" s="26" customFormat="1" ht="13.8" x14ac:dyDescent="0.3">
      <c r="B28" s="37" t="s">
        <v>55</v>
      </c>
      <c r="E28" s="104"/>
      <c r="F28" s="119">
        <f>'Invoer Scenario Basis'!F28</f>
        <v>0</v>
      </c>
      <c r="G28" s="119">
        <f>'Invoer Scenario Basis'!G28</f>
        <v>20</v>
      </c>
      <c r="H28" s="119">
        <f>'Invoer Scenario Basis'!H28</f>
        <v>0</v>
      </c>
      <c r="I28" s="119">
        <f>'Invoer Scenario Basis'!I28</f>
        <v>0</v>
      </c>
      <c r="J28" s="119">
        <f>'Invoer Scenario Basis'!J28</f>
        <v>0</v>
      </c>
      <c r="L28" s="35"/>
    </row>
    <row r="29" spans="2:15" s="26" customFormat="1" ht="13.8" x14ac:dyDescent="0.3">
      <c r="B29" s="37" t="s">
        <v>149</v>
      </c>
      <c r="E29" s="119">
        <f>'Invoer Scenario Basis'!E29</f>
        <v>-500</v>
      </c>
      <c r="F29" s="119">
        <f>'Invoer Scenario Basis'!F29</f>
        <v>0</v>
      </c>
      <c r="G29" s="119">
        <f>'Invoer Scenario Basis'!G29</f>
        <v>0</v>
      </c>
      <c r="H29" s="119">
        <f>'Invoer Scenario Basis'!H29</f>
        <v>0</v>
      </c>
      <c r="I29" s="119">
        <f>'Invoer Scenario Basis'!I29</f>
        <v>0</v>
      </c>
      <c r="J29" s="119">
        <f>'Invoer Scenario Basis'!J29</f>
        <v>0</v>
      </c>
    </row>
    <row r="30" spans="2:15" s="26" customFormat="1" ht="13.8" x14ac:dyDescent="0.3">
      <c r="B30" s="37" t="s">
        <v>174</v>
      </c>
      <c r="E30" s="105"/>
      <c r="F30" s="95">
        <f>F96</f>
        <v>-240</v>
      </c>
      <c r="G30" s="95">
        <f t="shared" ref="G30:J30" si="5">G96</f>
        <v>-240</v>
      </c>
      <c r="H30" s="95">
        <f t="shared" si="5"/>
        <v>-240</v>
      </c>
      <c r="I30" s="95">
        <f t="shared" si="5"/>
        <v>-240</v>
      </c>
      <c r="J30" s="95">
        <f t="shared" si="5"/>
        <v>-240</v>
      </c>
      <c r="L30" s="26" t="s">
        <v>173</v>
      </c>
    </row>
    <row r="31" spans="2:15" s="26" customFormat="1" ht="13.8" x14ac:dyDescent="0.3">
      <c r="B31" s="37" t="s">
        <v>175</v>
      </c>
      <c r="E31" s="105"/>
      <c r="F31" s="95">
        <f>-F13</f>
        <v>60</v>
      </c>
      <c r="G31" s="95">
        <f t="shared" ref="G31:J31" si="6">-G13</f>
        <v>60</v>
      </c>
      <c r="H31" s="95">
        <f t="shared" si="6"/>
        <v>60</v>
      </c>
      <c r="I31" s="95">
        <f t="shared" si="6"/>
        <v>60</v>
      </c>
      <c r="J31" s="95">
        <f t="shared" si="6"/>
        <v>60</v>
      </c>
      <c r="L31" s="26" t="str">
        <f>"Kopie regel "&amp;ROW(L13)&amp;". Positieve niet gerealiseserde afschrijvingslasten oude investering"</f>
        <v>Kopie regel 13. Positieve niet gerealiseserde afschrijvingslasten oude investering</v>
      </c>
    </row>
    <row r="32" spans="2:15" s="28" customFormat="1" ht="13.8" x14ac:dyDescent="0.3">
      <c r="B32" s="28" t="s">
        <v>24</v>
      </c>
      <c r="E32" s="101">
        <f>SUM(E27:E31)</f>
        <v>-500</v>
      </c>
      <c r="F32" s="101">
        <f t="shared" ref="F32:J32" si="7">SUM(F27:F31)</f>
        <v>-241.25</v>
      </c>
      <c r="G32" s="101">
        <f t="shared" si="7"/>
        <v>-221.25</v>
      </c>
      <c r="H32" s="101">
        <f t="shared" si="7"/>
        <v>-241.25</v>
      </c>
      <c r="I32" s="101">
        <f t="shared" si="7"/>
        <v>-241.25</v>
      </c>
      <c r="J32" s="101">
        <f t="shared" si="7"/>
        <v>-241.25</v>
      </c>
    </row>
    <row r="33" spans="2:15" s="26" customFormat="1" ht="13.8" x14ac:dyDescent="0.3">
      <c r="E33" s="97"/>
      <c r="F33" s="97"/>
      <c r="G33" s="97"/>
      <c r="H33" s="97"/>
      <c r="I33" s="97"/>
      <c r="J33" s="97"/>
    </row>
    <row r="34" spans="2:15" s="26" customFormat="1" ht="13.8" x14ac:dyDescent="0.3">
      <c r="B34" s="76" t="s">
        <v>188</v>
      </c>
      <c r="E34" s="105"/>
      <c r="F34" s="120"/>
      <c r="G34" s="120"/>
      <c r="H34" s="120"/>
      <c r="I34" s="120"/>
      <c r="J34" s="95">
        <f ca="1">J106</f>
        <v>0</v>
      </c>
      <c r="L34" s="35"/>
    </row>
    <row r="35" spans="2:15" s="26" customFormat="1" ht="13.8" x14ac:dyDescent="0.3">
      <c r="B35" s="76" t="s">
        <v>189</v>
      </c>
      <c r="E35" s="97">
        <f>E17</f>
        <v>150</v>
      </c>
      <c r="F35" s="107"/>
      <c r="G35" s="107"/>
      <c r="H35" s="107"/>
      <c r="I35" s="107"/>
      <c r="J35" s="107"/>
      <c r="L35" s="35" t="str">
        <f>"Kopie regel "&amp;ROW(L17)&amp;". Verkoopresultaat oude investering jaat 0 (= inschatting verkoopopbrengst -/- boekwaarde jaar 0)"</f>
        <v>Kopie regel 17. Verkoopresultaat oude investering jaat 0 (= inschatting verkoopopbrengst -/- boekwaarde jaar 0)</v>
      </c>
    </row>
    <row r="36" spans="2:15" s="26" customFormat="1" ht="13.8" x14ac:dyDescent="0.3">
      <c r="B36" s="76" t="s">
        <v>190</v>
      </c>
      <c r="E36" s="105"/>
      <c r="F36" s="107"/>
      <c r="G36" s="107"/>
      <c r="H36" s="107"/>
      <c r="I36" s="107"/>
      <c r="J36" s="95">
        <f>-J15</f>
        <v>-10</v>
      </c>
      <c r="L36" s="35" t="str">
        <f>"Kopie regel "&amp;ROW(L15)&amp;". Verkoopresultaat oude investering laatste jaar (= inschatting verkoopopbrengst -/- boekwaarde)"</f>
        <v>Kopie regel 15. Verkoopresultaat oude investering laatste jaar (= inschatting verkoopopbrengst -/- boekwaarde)</v>
      </c>
    </row>
    <row r="37" spans="2:15" s="26" customFormat="1" ht="13.8" x14ac:dyDescent="0.3">
      <c r="B37" s="37"/>
      <c r="E37" s="97"/>
      <c r="F37" s="119"/>
      <c r="G37" s="119"/>
      <c r="H37" s="119"/>
      <c r="I37" s="119"/>
      <c r="J37" s="119"/>
      <c r="L37" s="35"/>
    </row>
    <row r="38" spans="2:15" s="28" customFormat="1" ht="13.8" x14ac:dyDescent="0.3">
      <c r="B38" s="28" t="s">
        <v>25</v>
      </c>
      <c r="E38" s="100">
        <f>E21+E25+SUM(E32:E37)</f>
        <v>-350</v>
      </c>
      <c r="F38" s="100">
        <f t="shared" ref="F38:J38" si="8">F21+F25+SUM(F32:F37)</f>
        <v>677.5</v>
      </c>
      <c r="G38" s="100">
        <f t="shared" si="8"/>
        <v>697.5</v>
      </c>
      <c r="H38" s="100">
        <f t="shared" si="8"/>
        <v>677.5</v>
      </c>
      <c r="I38" s="100">
        <f t="shared" si="8"/>
        <v>677.5</v>
      </c>
      <c r="J38" s="100">
        <f t="shared" ca="1" si="8"/>
        <v>717.5</v>
      </c>
    </row>
    <row r="39" spans="2:15" s="26" customFormat="1" ht="13.8" x14ac:dyDescent="0.3">
      <c r="E39" s="97"/>
      <c r="F39" s="97"/>
      <c r="G39" s="97"/>
      <c r="H39" s="97"/>
      <c r="I39" s="97"/>
      <c r="J39" s="97"/>
    </row>
    <row r="40" spans="2:15" s="26" customFormat="1" ht="13.8" x14ac:dyDescent="0.3">
      <c r="B40" s="26" t="s">
        <v>0</v>
      </c>
      <c r="C40" s="47">
        <f>'Invoer Scenario Basis'!C40</f>
        <v>-0.25</v>
      </c>
      <c r="E40" s="97">
        <f>$C40*E38</f>
        <v>87.5</v>
      </c>
      <c r="F40" s="97">
        <f>$C40*F38</f>
        <v>-169.375</v>
      </c>
      <c r="G40" s="97">
        <f t="shared" ref="G40:J40" si="9">$C40*G38</f>
        <v>-174.375</v>
      </c>
      <c r="H40" s="97">
        <f t="shared" si="9"/>
        <v>-169.375</v>
      </c>
      <c r="I40" s="97">
        <f t="shared" si="9"/>
        <v>-169.375</v>
      </c>
      <c r="J40" s="97">
        <f t="shared" ca="1" si="9"/>
        <v>-179.375</v>
      </c>
    </row>
    <row r="41" spans="2:15" s="28" customFormat="1" thickBot="1" x14ac:dyDescent="0.35">
      <c r="B41" s="28" t="s">
        <v>26</v>
      </c>
      <c r="E41" s="103">
        <f>SUM(E38:E40)</f>
        <v>-262.5</v>
      </c>
      <c r="F41" s="103">
        <f>SUM(F38:F40)</f>
        <v>508.125</v>
      </c>
      <c r="G41" s="103">
        <f t="shared" ref="G41:J41" si="10">SUM(G38:G40)</f>
        <v>523.125</v>
      </c>
      <c r="H41" s="103">
        <f t="shared" si="10"/>
        <v>508.125</v>
      </c>
      <c r="I41" s="103">
        <f t="shared" si="10"/>
        <v>508.125</v>
      </c>
      <c r="J41" s="103">
        <f t="shared" ca="1" si="10"/>
        <v>538.125</v>
      </c>
    </row>
    <row r="42" spans="2:15" s="26" customFormat="1" thickTop="1" x14ac:dyDescent="0.3">
      <c r="E42" s="97"/>
      <c r="F42" s="97"/>
      <c r="G42" s="97"/>
      <c r="H42" s="97"/>
      <c r="I42" s="97"/>
      <c r="J42" s="97"/>
    </row>
    <row r="43" spans="2:15" s="2" customFormat="1" x14ac:dyDescent="0.3">
      <c r="B43" s="87" t="s">
        <v>28</v>
      </c>
      <c r="C43" s="88"/>
      <c r="D43" s="87"/>
      <c r="E43" s="88">
        <f t="shared" ref="E43:J43" si="11">E19</f>
        <v>2026</v>
      </c>
      <c r="F43" s="88">
        <f t="shared" si="11"/>
        <v>2027</v>
      </c>
      <c r="G43" s="88">
        <f t="shared" si="11"/>
        <v>2028</v>
      </c>
      <c r="H43" s="88">
        <f t="shared" si="11"/>
        <v>2029</v>
      </c>
      <c r="I43" s="88">
        <f t="shared" si="11"/>
        <v>2030</v>
      </c>
      <c r="J43" s="88">
        <f t="shared" si="11"/>
        <v>2031</v>
      </c>
      <c r="K43" s="30"/>
      <c r="L43" s="36"/>
      <c r="M43" s="9"/>
      <c r="N43" s="9"/>
      <c r="O43" s="12"/>
    </row>
    <row r="44" spans="2:15" s="26" customFormat="1" ht="13.8" x14ac:dyDescent="0.3">
      <c r="E44" s="31"/>
      <c r="F44" s="31"/>
    </row>
    <row r="45" spans="2:15" s="28" customFormat="1" ht="13.8" x14ac:dyDescent="0.3">
      <c r="B45" s="28" t="s">
        <v>26</v>
      </c>
      <c r="E45" s="100">
        <f>E41</f>
        <v>-262.5</v>
      </c>
      <c r="F45" s="100">
        <f t="shared" ref="F45:J45" si="12">F41</f>
        <v>508.125</v>
      </c>
      <c r="G45" s="100">
        <f t="shared" si="12"/>
        <v>523.125</v>
      </c>
      <c r="H45" s="100">
        <f t="shared" si="12"/>
        <v>508.125</v>
      </c>
      <c r="I45" s="100">
        <f t="shared" si="12"/>
        <v>508.125</v>
      </c>
      <c r="J45" s="100">
        <f t="shared" ca="1" si="12"/>
        <v>538.125</v>
      </c>
    </row>
    <row r="46" spans="2:15" s="26" customFormat="1" ht="13.8" x14ac:dyDescent="0.3">
      <c r="E46" s="97"/>
      <c r="F46" s="97"/>
      <c r="G46" s="97"/>
      <c r="H46" s="97"/>
      <c r="I46" s="97"/>
      <c r="J46" s="97"/>
    </row>
    <row r="47" spans="2:15" s="26" customFormat="1" ht="13.8" x14ac:dyDescent="0.3">
      <c r="B47" s="26" t="s">
        <v>29</v>
      </c>
      <c r="E47" s="105"/>
      <c r="F47" s="97">
        <f>-F30-F31</f>
        <v>180</v>
      </c>
      <c r="G47" s="97">
        <f t="shared" ref="G47:J47" si="13">-G30-G31</f>
        <v>180</v>
      </c>
      <c r="H47" s="97">
        <f t="shared" si="13"/>
        <v>180</v>
      </c>
      <c r="I47" s="97">
        <f t="shared" si="13"/>
        <v>180</v>
      </c>
      <c r="J47" s="97">
        <f t="shared" si="13"/>
        <v>180</v>
      </c>
      <c r="L47" s="26" t="s">
        <v>199</v>
      </c>
    </row>
    <row r="48" spans="2:15" s="26" customFormat="1" ht="13.8" x14ac:dyDescent="0.3">
      <c r="B48" s="26" t="s">
        <v>152</v>
      </c>
      <c r="E48" s="97">
        <f>-SUM(E34:E36)</f>
        <v>-150</v>
      </c>
      <c r="F48" s="97">
        <f t="shared" ref="F48:J48" si="14">-SUM(F34:F36)</f>
        <v>0</v>
      </c>
      <c r="G48" s="97">
        <f t="shared" si="14"/>
        <v>0</v>
      </c>
      <c r="H48" s="97">
        <f t="shared" si="14"/>
        <v>0</v>
      </c>
      <c r="I48" s="97">
        <f t="shared" si="14"/>
        <v>0</v>
      </c>
      <c r="J48" s="97">
        <f t="shared" ca="1" si="14"/>
        <v>10</v>
      </c>
      <c r="L48" s="26" t="s">
        <v>200</v>
      </c>
    </row>
    <row r="49" spans="2:12" s="26" customFormat="1" ht="13.8" x14ac:dyDescent="0.3">
      <c r="B49" s="26" t="s">
        <v>30</v>
      </c>
      <c r="E49" s="119">
        <f>'Invoer Scenario Basis'!E49</f>
        <v>-40</v>
      </c>
      <c r="F49" s="119">
        <f>'Invoer Scenario Basis'!F49</f>
        <v>-10</v>
      </c>
      <c r="G49" s="119">
        <f>'Invoer Scenario Basis'!G49</f>
        <v>0</v>
      </c>
      <c r="H49" s="119">
        <f>'Invoer Scenario Basis'!H49</f>
        <v>0</v>
      </c>
      <c r="I49" s="119">
        <f>'Invoer Scenario Basis'!I49</f>
        <v>0</v>
      </c>
      <c r="J49" s="119">
        <f>'Invoer Scenario Basis'!J49</f>
        <v>50</v>
      </c>
    </row>
    <row r="50" spans="2:12" s="26" customFormat="1" ht="13.8" x14ac:dyDescent="0.3">
      <c r="E50" s="97"/>
      <c r="F50" s="97"/>
      <c r="G50" s="97"/>
      <c r="H50" s="97"/>
      <c r="I50" s="97"/>
      <c r="J50" s="97"/>
    </row>
    <row r="51" spans="2:12" s="26" customFormat="1" ht="13.8" x14ac:dyDescent="0.3">
      <c r="B51" s="26" t="s">
        <v>195</v>
      </c>
      <c r="E51" s="122">
        <f>'Invoer Scenario Basis'!E51*(1+$C111)</f>
        <v>-1500</v>
      </c>
      <c r="F51" s="105"/>
      <c r="G51" s="105"/>
      <c r="H51" s="105"/>
      <c r="I51" s="105"/>
      <c r="J51" s="105"/>
      <c r="L51" s="26" t="s">
        <v>100</v>
      </c>
    </row>
    <row r="52" spans="2:12" s="26" customFormat="1" ht="13.8" x14ac:dyDescent="0.3">
      <c r="B52" s="26" t="s">
        <v>191</v>
      </c>
      <c r="E52" s="105"/>
      <c r="F52" s="105"/>
      <c r="G52" s="105"/>
      <c r="H52" s="105"/>
      <c r="I52" s="105"/>
      <c r="J52" s="122">
        <f>'Invoer Scenario Basis'!J52*(1+$C112)</f>
        <v>300</v>
      </c>
      <c r="L52" s="26" t="s">
        <v>100</v>
      </c>
    </row>
    <row r="53" spans="2:12" s="26" customFormat="1" ht="13.8" x14ac:dyDescent="0.3">
      <c r="B53" s="26" t="s">
        <v>193</v>
      </c>
      <c r="E53" s="97">
        <f>E16</f>
        <v>450</v>
      </c>
      <c r="F53" s="105"/>
      <c r="G53" s="105"/>
      <c r="H53" s="105"/>
      <c r="I53" s="105"/>
      <c r="J53" s="105"/>
      <c r="L53" s="26" t="str">
        <f>"Kopie regel "&amp;ROW(L16)&amp;". Verkoopopbrengst oude investering jaar 0 als gevolg van nieuwe investering"</f>
        <v>Kopie regel 16. Verkoopopbrengst oude investering jaar 0 als gevolg van nieuwe investering</v>
      </c>
    </row>
    <row r="54" spans="2:12" s="26" customFormat="1" ht="13.8" x14ac:dyDescent="0.3">
      <c r="B54" s="26" t="s">
        <v>187</v>
      </c>
      <c r="E54" s="105"/>
      <c r="F54" s="105"/>
      <c r="G54" s="105"/>
      <c r="H54" s="105"/>
      <c r="I54" s="105"/>
      <c r="J54" s="97">
        <f>-J14</f>
        <v>-50</v>
      </c>
      <c r="L54" s="26" t="str">
        <f>"Kopie regel "&amp;ROW(L14)&amp;". Restwaarde/verkoopopbrengst van oude investering die niet gerealiseerd wordt als gevolg van aanschaf nieuwe investering (en verkoop oude investering op tijdstip 0)"</f>
        <v>Kopie regel 14. Restwaarde/verkoopopbrengst van oude investering die niet gerealiseerd wordt als gevolg van aanschaf nieuwe investering (en verkoop oude investering op tijdstip 0)</v>
      </c>
    </row>
    <row r="55" spans="2:12" s="26" customFormat="1" ht="13.8" x14ac:dyDescent="0.3">
      <c r="E55" s="97"/>
      <c r="F55" s="97"/>
      <c r="G55" s="97"/>
      <c r="H55" s="97"/>
      <c r="I55" s="97"/>
      <c r="J55" s="97"/>
    </row>
    <row r="56" spans="2:12" s="28" customFormat="1" thickBot="1" x14ac:dyDescent="0.35">
      <c r="B56" s="28" t="s">
        <v>31</v>
      </c>
      <c r="E56" s="103">
        <f>SUM(E45:E55)</f>
        <v>-1502.5</v>
      </c>
      <c r="F56" s="103">
        <f t="shared" ref="F56:J56" si="15">SUM(F45:F55)</f>
        <v>678.125</v>
      </c>
      <c r="G56" s="103">
        <f t="shared" si="15"/>
        <v>703.125</v>
      </c>
      <c r="H56" s="103">
        <f t="shared" si="15"/>
        <v>688.125</v>
      </c>
      <c r="I56" s="103">
        <f t="shared" si="15"/>
        <v>688.125</v>
      </c>
      <c r="J56" s="103">
        <f t="shared" ca="1" si="15"/>
        <v>1028.125</v>
      </c>
    </row>
    <row r="57" spans="2:12" s="26" customFormat="1" thickTop="1" x14ac:dyDescent="0.3">
      <c r="E57" s="97"/>
      <c r="F57" s="97"/>
      <c r="G57" s="97"/>
      <c r="H57" s="97"/>
      <c r="I57" s="97"/>
      <c r="J57" s="97"/>
    </row>
    <row r="58" spans="2:12" s="26" customFormat="1" ht="13.8" x14ac:dyDescent="0.3">
      <c r="B58" s="26" t="s">
        <v>35</v>
      </c>
      <c r="E58" s="97">
        <f>E56</f>
        <v>-1502.5</v>
      </c>
      <c r="F58" s="97">
        <f ca="1">F56+OFFSET(F58,0,-1)</f>
        <v>-824.375</v>
      </c>
      <c r="G58" s="97">
        <f t="shared" ref="G58:J58" ca="1" si="16">G56+OFFSET(G58,0,-1)</f>
        <v>-121.25</v>
      </c>
      <c r="H58" s="97">
        <f t="shared" ca="1" si="16"/>
        <v>566.875</v>
      </c>
      <c r="I58" s="97">
        <f t="shared" ca="1" si="16"/>
        <v>1255</v>
      </c>
      <c r="J58" s="97">
        <f t="shared" ca="1" si="16"/>
        <v>2283.125</v>
      </c>
    </row>
    <row r="59" spans="2:12" s="26" customFormat="1" ht="13.8" x14ac:dyDescent="0.3">
      <c r="B59" s="26" t="s">
        <v>37</v>
      </c>
      <c r="E59" s="97">
        <f t="shared" ref="E59:J59" si="17">E56*E70</f>
        <v>-1502.5</v>
      </c>
      <c r="F59" s="97">
        <f t="shared" si="17"/>
        <v>616.47727272727275</v>
      </c>
      <c r="G59" s="97">
        <f t="shared" si="17"/>
        <v>581.09504132231393</v>
      </c>
      <c r="H59" s="97">
        <f t="shared" si="17"/>
        <v>516.99849737039801</v>
      </c>
      <c r="I59" s="97">
        <f t="shared" si="17"/>
        <v>469.99863397308917</v>
      </c>
      <c r="J59" s="97">
        <f t="shared" ca="1" si="17"/>
        <v>638.38473527019369</v>
      </c>
    </row>
    <row r="60" spans="2:12" s="26" customFormat="1" ht="13.8" x14ac:dyDescent="0.3">
      <c r="B60" s="26" t="s">
        <v>38</v>
      </c>
      <c r="E60" s="97">
        <f>E59</f>
        <v>-1502.5</v>
      </c>
      <c r="F60" s="97">
        <f ca="1">F59+OFFSET(F60,0,-1)</f>
        <v>-886.02272727272725</v>
      </c>
      <c r="G60" s="97">
        <f t="shared" ref="G60:J60" ca="1" si="18">G59+OFFSET(G60,0,-1)</f>
        <v>-304.92768595041332</v>
      </c>
      <c r="H60" s="97">
        <f t="shared" ca="1" si="18"/>
        <v>212.07081141998469</v>
      </c>
      <c r="I60" s="97">
        <f t="shared" ca="1" si="18"/>
        <v>682.06944539307392</v>
      </c>
      <c r="J60" s="97">
        <f t="shared" ca="1" si="18"/>
        <v>1320.4541806632676</v>
      </c>
    </row>
    <row r="61" spans="2:12" s="26" customFormat="1" ht="13.8" x14ac:dyDescent="0.3">
      <c r="E61" s="97"/>
      <c r="F61" s="97"/>
      <c r="G61" s="97"/>
      <c r="H61" s="97"/>
      <c r="I61" s="97"/>
      <c r="J61" s="97"/>
    </row>
    <row r="62" spans="2:12" s="26" customFormat="1" ht="13.8" x14ac:dyDescent="0.3">
      <c r="B62" s="26" t="s">
        <v>34</v>
      </c>
      <c r="E62" s="97">
        <f ca="1">SUM(E59:J59)</f>
        <v>1320.4541806632676</v>
      </c>
      <c r="F62" s="97"/>
      <c r="G62" s="97"/>
      <c r="H62" s="97"/>
      <c r="I62" s="97"/>
      <c r="J62" s="97"/>
    </row>
    <row r="63" spans="2:12" s="26" customFormat="1" ht="13.8" x14ac:dyDescent="0.3">
      <c r="B63" s="26" t="s">
        <v>33</v>
      </c>
      <c r="E63" s="38">
        <f ca="1">E77</f>
        <v>2.1762034514078112</v>
      </c>
    </row>
    <row r="64" spans="2:12" s="26" customFormat="1" ht="13.8" x14ac:dyDescent="0.3">
      <c r="B64" s="26" t="s">
        <v>39</v>
      </c>
      <c r="E64" s="40">
        <f ca="1">E84</f>
        <v>2.5898038147138971</v>
      </c>
    </row>
    <row r="65" spans="2:15" s="26" customFormat="1" ht="13.8" x14ac:dyDescent="0.3">
      <c r="B65" s="26" t="s">
        <v>40</v>
      </c>
      <c r="E65" s="29">
        <f ca="1">IRR(E56:J56)</f>
        <v>0.38552966937985467</v>
      </c>
    </row>
    <row r="66" spans="2:15" s="26" customFormat="1" ht="13.8" x14ac:dyDescent="0.3"/>
    <row r="67" spans="2:15" s="2" customFormat="1" x14ac:dyDescent="0.3">
      <c r="B67" s="87" t="s">
        <v>67</v>
      </c>
      <c r="C67" s="88"/>
      <c r="D67" s="87"/>
      <c r="E67" s="88">
        <f t="shared" ref="E67:J67" si="19">E19</f>
        <v>2026</v>
      </c>
      <c r="F67" s="88">
        <f t="shared" si="19"/>
        <v>2027</v>
      </c>
      <c r="G67" s="88">
        <f t="shared" si="19"/>
        <v>2028</v>
      </c>
      <c r="H67" s="88">
        <f t="shared" si="19"/>
        <v>2029</v>
      </c>
      <c r="I67" s="88">
        <f t="shared" si="19"/>
        <v>2030</v>
      </c>
      <c r="J67" s="88">
        <f t="shared" si="19"/>
        <v>2031</v>
      </c>
      <c r="K67" s="30"/>
      <c r="L67" s="36"/>
      <c r="M67" s="9"/>
      <c r="N67" s="9"/>
      <c r="O67" s="12"/>
    </row>
    <row r="68" spans="2:15" s="26" customFormat="1" ht="13.8" outlineLevel="1" x14ac:dyDescent="0.3">
      <c r="E68" s="31"/>
      <c r="F68" s="31"/>
    </row>
    <row r="69" spans="2:15" s="17" customFormat="1" outlineLevel="1" x14ac:dyDescent="0.3">
      <c r="B69" s="33" t="s">
        <v>32</v>
      </c>
      <c r="C69" s="33"/>
      <c r="D69" s="33"/>
      <c r="E69" s="41">
        <f>E67-$E67</f>
        <v>0</v>
      </c>
      <c r="F69" s="41">
        <f t="shared" ref="F69:J69" si="20">F67-$E67</f>
        <v>1</v>
      </c>
      <c r="G69" s="41">
        <f t="shared" si="20"/>
        <v>2</v>
      </c>
      <c r="H69" s="41">
        <f t="shared" si="20"/>
        <v>3</v>
      </c>
      <c r="I69" s="41">
        <f t="shared" si="20"/>
        <v>4</v>
      </c>
      <c r="J69" s="41">
        <f t="shared" si="20"/>
        <v>5</v>
      </c>
      <c r="K69" s="33"/>
      <c r="L69" s="33"/>
    </row>
    <row r="70" spans="2:15" s="26" customFormat="1" ht="13.8" outlineLevel="1" x14ac:dyDescent="0.3">
      <c r="B70" s="26" t="s">
        <v>36</v>
      </c>
      <c r="E70" s="39">
        <f t="shared" ref="E70:J70" si="21">1/(1+$E$8)^E69</f>
        <v>1</v>
      </c>
      <c r="F70" s="39">
        <f t="shared" si="21"/>
        <v>0.90909090909090906</v>
      </c>
      <c r="G70" s="39">
        <f t="shared" si="21"/>
        <v>0.82644628099173545</v>
      </c>
      <c r="H70" s="39">
        <f t="shared" si="21"/>
        <v>0.75131480090157754</v>
      </c>
      <c r="I70" s="39">
        <f t="shared" si="21"/>
        <v>0.68301345536507052</v>
      </c>
      <c r="J70" s="39">
        <f t="shared" si="21"/>
        <v>0.62092132305915493</v>
      </c>
    </row>
    <row r="71" spans="2:15" s="26" customFormat="1" ht="13.8" outlineLevel="1" x14ac:dyDescent="0.3">
      <c r="E71" s="39"/>
      <c r="F71" s="39"/>
      <c r="G71" s="39"/>
      <c r="H71" s="39"/>
      <c r="I71" s="39"/>
      <c r="J71" s="39"/>
    </row>
    <row r="72" spans="2:15" s="26" customFormat="1" ht="13.8" outlineLevel="1" x14ac:dyDescent="0.3">
      <c r="B72" s="26" t="str">
        <f>B58</f>
        <v>Cumulatieve incementele kasstromen</v>
      </c>
      <c r="E72" s="97">
        <f>E58</f>
        <v>-1502.5</v>
      </c>
      <c r="F72" s="97">
        <f t="shared" ref="F72:J72" ca="1" si="22">F58</f>
        <v>-824.375</v>
      </c>
      <c r="G72" s="97">
        <f t="shared" ca="1" si="22"/>
        <v>-121.25</v>
      </c>
      <c r="H72" s="97">
        <f t="shared" ca="1" si="22"/>
        <v>566.875</v>
      </c>
      <c r="I72" s="97">
        <f t="shared" ca="1" si="22"/>
        <v>1255</v>
      </c>
      <c r="J72" s="97">
        <f t="shared" ca="1" si="22"/>
        <v>2283.125</v>
      </c>
      <c r="L72" s="27"/>
    </row>
    <row r="73" spans="2:15" s="26" customFormat="1" ht="13.8" outlineLevel="1" x14ac:dyDescent="0.3">
      <c r="B73" s="26" t="s">
        <v>41</v>
      </c>
      <c r="E73" s="38"/>
      <c r="F73" s="38">
        <f t="shared" ref="F73:J73" ca="1" si="23">IF(AND(SIGN(OFFSET(F72,0,-1))=-1,SIGN(F72)&gt;-1),-OFFSET(F72,0,-1)/(-OFFSET(F72,0,-1)+F72),0)</f>
        <v>0</v>
      </c>
      <c r="G73" s="38">
        <f t="shared" ca="1" si="23"/>
        <v>0</v>
      </c>
      <c r="H73" s="38">
        <f t="shared" ca="1" si="23"/>
        <v>0.17620345140781107</v>
      </c>
      <c r="I73" s="38">
        <f t="shared" ca="1" si="23"/>
        <v>0</v>
      </c>
      <c r="J73" s="38">
        <f t="shared" ca="1" si="23"/>
        <v>0</v>
      </c>
    </row>
    <row r="74" spans="2:15" s="26" customFormat="1" ht="13.8" outlineLevel="1" x14ac:dyDescent="0.3">
      <c r="B74" s="26" t="s">
        <v>42</v>
      </c>
      <c r="E74" s="38" t="str">
        <f ca="1">IF(J72&lt;0,"nee","ja")</f>
        <v>ja</v>
      </c>
      <c r="F74" s="38"/>
      <c r="G74" s="38"/>
      <c r="H74" s="38"/>
      <c r="I74" s="38"/>
      <c r="J74" s="38"/>
    </row>
    <row r="75" spans="2:15" s="26" customFormat="1" ht="13.8" outlineLevel="1" x14ac:dyDescent="0.3">
      <c r="B75" s="26" t="s">
        <v>44</v>
      </c>
      <c r="E75" s="27">
        <f ca="1">IF(E74="ja",COUNTIF(E72:J72,"&lt;0"),"nvt")</f>
        <v>3</v>
      </c>
      <c r="F75" s="38"/>
      <c r="G75" s="38"/>
      <c r="H75" s="38"/>
      <c r="I75" s="38"/>
      <c r="J75" s="38"/>
    </row>
    <row r="76" spans="2:15" s="26" customFormat="1" ht="13.8" outlineLevel="1" x14ac:dyDescent="0.3">
      <c r="B76" s="26" t="s">
        <v>41</v>
      </c>
      <c r="E76" s="38">
        <f ca="1">INDEX(F73:J73,E75)</f>
        <v>0.17620345140781107</v>
      </c>
      <c r="F76" s="38"/>
      <c r="G76" s="38"/>
      <c r="H76" s="38"/>
      <c r="I76" s="38"/>
      <c r="J76" s="38"/>
    </row>
    <row r="77" spans="2:15" s="26" customFormat="1" ht="13.8" outlineLevel="1" x14ac:dyDescent="0.3">
      <c r="B77" s="26" t="s">
        <v>43</v>
      </c>
      <c r="E77" s="38">
        <f ca="1">IFERROR(E75-1+E76,"nvt")</f>
        <v>2.1762034514078112</v>
      </c>
      <c r="F77" s="38"/>
      <c r="G77" s="38"/>
      <c r="H77" s="38"/>
      <c r="I77" s="38"/>
      <c r="J77" s="38"/>
    </row>
    <row r="78" spans="2:15" s="26" customFormat="1" ht="13.8" outlineLevel="1" x14ac:dyDescent="0.3"/>
    <row r="79" spans="2:15" s="26" customFormat="1" ht="13.8" outlineLevel="1" x14ac:dyDescent="0.3">
      <c r="B79" s="26" t="str">
        <f>B60</f>
        <v>Cumulatieve CW</v>
      </c>
      <c r="E79" s="97">
        <f>E60</f>
        <v>-1502.5</v>
      </c>
      <c r="F79" s="97">
        <f t="shared" ref="F79:J79" ca="1" si="24">F60</f>
        <v>-886.02272727272725</v>
      </c>
      <c r="G79" s="97">
        <f t="shared" ca="1" si="24"/>
        <v>-304.92768595041332</v>
      </c>
      <c r="H79" s="97">
        <f t="shared" ca="1" si="24"/>
        <v>212.07081141998469</v>
      </c>
      <c r="I79" s="97">
        <f t="shared" ca="1" si="24"/>
        <v>682.06944539307392</v>
      </c>
      <c r="J79" s="97">
        <f t="shared" ca="1" si="24"/>
        <v>1320.4541806632676</v>
      </c>
      <c r="L79" s="27"/>
    </row>
    <row r="80" spans="2:15" s="26" customFormat="1" ht="13.8" outlineLevel="1" x14ac:dyDescent="0.3">
      <c r="B80" s="26" t="s">
        <v>41</v>
      </c>
      <c r="E80" s="38"/>
      <c r="F80" s="38">
        <f ca="1">IF(AND(SIGN(OFFSET(F79,0,-1))=-1,SIGN(F79)&gt;-1),-OFFSET(F79,0,-1)/(-OFFSET(F79,0,-1)+F79),0)</f>
        <v>0</v>
      </c>
      <c r="G80" s="38">
        <f t="shared" ref="G80:J80" ca="1" si="25">IF(AND(SIGN(OFFSET(G79,0,-1))=-1,SIGN(G79)&gt;-1),-OFFSET(G79,0,-1)/(-OFFSET(G79,0,-1)+G79),0)</f>
        <v>0</v>
      </c>
      <c r="H80" s="38">
        <f t="shared" ca="1" si="25"/>
        <v>0.58980381471389687</v>
      </c>
      <c r="I80" s="38">
        <f t="shared" ca="1" si="25"/>
        <v>0</v>
      </c>
      <c r="J80" s="38">
        <f t="shared" ca="1" si="25"/>
        <v>0</v>
      </c>
    </row>
    <row r="81" spans="2:15" s="26" customFormat="1" ht="13.8" outlineLevel="1" x14ac:dyDescent="0.3">
      <c r="B81" s="26" t="s">
        <v>42</v>
      </c>
      <c r="E81" s="38" t="str">
        <f ca="1">IF(J79&lt;0,"nee","ja")</f>
        <v>ja</v>
      </c>
      <c r="F81" s="38"/>
      <c r="G81" s="38"/>
      <c r="H81" s="38"/>
      <c r="I81" s="38"/>
      <c r="J81" s="38"/>
    </row>
    <row r="82" spans="2:15" s="26" customFormat="1" ht="13.8" outlineLevel="1" x14ac:dyDescent="0.3">
      <c r="B82" s="26" t="s">
        <v>44</v>
      </c>
      <c r="E82" s="27">
        <f ca="1">IF(E81="ja",COUNTIF(E79:J79,"&lt;0"),"nvt")</f>
        <v>3</v>
      </c>
      <c r="F82" s="38"/>
      <c r="G82" s="38"/>
      <c r="H82" s="38"/>
      <c r="I82" s="38"/>
      <c r="J82" s="38"/>
    </row>
    <row r="83" spans="2:15" s="26" customFormat="1" ht="13.8" outlineLevel="1" x14ac:dyDescent="0.3">
      <c r="B83" s="26" t="s">
        <v>41</v>
      </c>
      <c r="E83" s="38">
        <f ca="1">INDEX(F80:J80,E82)</f>
        <v>0.58980381471389687</v>
      </c>
      <c r="F83" s="38"/>
      <c r="G83" s="38"/>
      <c r="H83" s="38"/>
      <c r="I83" s="38"/>
      <c r="J83" s="38"/>
    </row>
    <row r="84" spans="2:15" s="26" customFormat="1" ht="13.8" outlineLevel="1" x14ac:dyDescent="0.3">
      <c r="B84" s="26" t="s">
        <v>63</v>
      </c>
      <c r="E84" s="38">
        <f ca="1">IFERROR(E82-1+E83,"nvt")</f>
        <v>2.5898038147138971</v>
      </c>
      <c r="F84" s="38"/>
      <c r="G84" s="38"/>
      <c r="H84" s="38"/>
      <c r="I84" s="38"/>
      <c r="J84" s="38"/>
    </row>
    <row r="85" spans="2:15" s="26" customFormat="1" ht="13.8" outlineLevel="1" x14ac:dyDescent="0.3"/>
    <row r="86" spans="2:15" s="26" customFormat="1" ht="13.8" outlineLevel="1" x14ac:dyDescent="0.3">
      <c r="B86" s="32" t="s">
        <v>48</v>
      </c>
    </row>
    <row r="87" spans="2:15" s="26" customFormat="1" ht="13.8" outlineLevel="1" x14ac:dyDescent="0.3">
      <c r="B87" s="26" t="s">
        <v>47</v>
      </c>
      <c r="E87" s="97">
        <f ca="1">NPV(E8,F56:J56)+E56</f>
        <v>1320.4541806632674</v>
      </c>
    </row>
    <row r="88" spans="2:15" s="26" customFormat="1" ht="13.8" outlineLevel="1" x14ac:dyDescent="0.3">
      <c r="B88" s="26" t="s">
        <v>80</v>
      </c>
      <c r="E88" s="97">
        <f ca="1">E62</f>
        <v>1320.4541806632676</v>
      </c>
    </row>
    <row r="89" spans="2:15" s="26" customFormat="1" ht="13.8" outlineLevel="1" x14ac:dyDescent="0.3">
      <c r="B89" s="26" t="s">
        <v>49</v>
      </c>
      <c r="E89" s="26" t="b">
        <f ca="1">ROUND(E87,2)=ROUND(E88,2)</f>
        <v>1</v>
      </c>
    </row>
    <row r="90" spans="2:15" s="26" customFormat="1" ht="13.8" outlineLevel="1" x14ac:dyDescent="0.3"/>
    <row r="91" spans="2:15" s="26" customFormat="1" ht="13.8" x14ac:dyDescent="0.3"/>
    <row r="92" spans="2:15" s="2" customFormat="1" x14ac:dyDescent="0.3">
      <c r="B92" s="87" t="s">
        <v>72</v>
      </c>
      <c r="C92" s="88"/>
      <c r="D92" s="87"/>
      <c r="E92" s="88">
        <f t="shared" ref="E92:J92" si="26">E19</f>
        <v>2026</v>
      </c>
      <c r="F92" s="88">
        <f t="shared" si="26"/>
        <v>2027</v>
      </c>
      <c r="G92" s="88">
        <f t="shared" si="26"/>
        <v>2028</v>
      </c>
      <c r="H92" s="88">
        <f t="shared" si="26"/>
        <v>2029</v>
      </c>
      <c r="I92" s="88">
        <f t="shared" si="26"/>
        <v>2030</v>
      </c>
      <c r="J92" s="88">
        <f t="shared" si="26"/>
        <v>2031</v>
      </c>
      <c r="K92" s="30"/>
      <c r="L92" s="36"/>
      <c r="M92" s="9"/>
      <c r="N92" s="9"/>
      <c r="O92" s="12"/>
    </row>
    <row r="93" spans="2:15" s="26" customFormat="1" ht="13.8" outlineLevel="1" x14ac:dyDescent="0.3">
      <c r="E93" s="31"/>
      <c r="F93" s="31"/>
    </row>
    <row r="94" spans="2:15" s="26" customFormat="1" ht="13.8" outlineLevel="1" x14ac:dyDescent="0.3">
      <c r="B94" s="26" t="s">
        <v>73</v>
      </c>
      <c r="C94" s="97">
        <f>SUM(E94:J94)</f>
        <v>-1200</v>
      </c>
      <c r="D94" s="97"/>
      <c r="E94" s="97">
        <f>E51</f>
        <v>-1500</v>
      </c>
      <c r="F94" s="105"/>
      <c r="G94" s="105"/>
      <c r="H94" s="105"/>
      <c r="I94" s="105"/>
      <c r="J94" s="97">
        <f>J52</f>
        <v>300</v>
      </c>
    </row>
    <row r="95" spans="2:15" s="26" customFormat="1" ht="13.8" outlineLevel="1" x14ac:dyDescent="0.3">
      <c r="B95" s="26" t="s">
        <v>74</v>
      </c>
      <c r="C95" s="44">
        <f>J92-E92</f>
        <v>5</v>
      </c>
    </row>
    <row r="96" spans="2:15" s="26" customFormat="1" ht="13.8" outlineLevel="1" x14ac:dyDescent="0.3">
      <c r="B96" s="26" t="s">
        <v>75</v>
      </c>
      <c r="C96" s="97">
        <f>C94/C95</f>
        <v>-240</v>
      </c>
      <c r="D96" s="97"/>
      <c r="E96" s="105"/>
      <c r="F96" s="97">
        <f>$C96</f>
        <v>-240</v>
      </c>
      <c r="G96" s="97">
        <f t="shared" ref="G96:J96" si="27">$C96</f>
        <v>-240</v>
      </c>
      <c r="H96" s="97">
        <f t="shared" si="27"/>
        <v>-240</v>
      </c>
      <c r="I96" s="97">
        <f t="shared" si="27"/>
        <v>-240</v>
      </c>
      <c r="J96" s="97">
        <f t="shared" si="27"/>
        <v>-240</v>
      </c>
    </row>
    <row r="97" spans="2:15" s="26" customFormat="1" ht="13.8" outlineLevel="1" x14ac:dyDescent="0.3">
      <c r="B97" s="26" t="s">
        <v>77</v>
      </c>
      <c r="C97" s="97"/>
      <c r="D97" s="97"/>
      <c r="E97" s="105"/>
      <c r="F97" s="97">
        <f>F96</f>
        <v>-240</v>
      </c>
      <c r="G97" s="97">
        <f ca="1">G96+OFFSET(G97,0,-1)</f>
        <v>-480</v>
      </c>
      <c r="H97" s="97">
        <f t="shared" ref="H97:J97" ca="1" si="28">H96+OFFSET(H97,0,-1)</f>
        <v>-720</v>
      </c>
      <c r="I97" s="97">
        <f t="shared" ca="1" si="28"/>
        <v>-960</v>
      </c>
      <c r="J97" s="97">
        <f t="shared" ca="1" si="28"/>
        <v>-1200</v>
      </c>
    </row>
    <row r="98" spans="2:15" s="26" customFormat="1" ht="13.8" outlineLevel="1" x14ac:dyDescent="0.3">
      <c r="B98" s="26" t="s">
        <v>76</v>
      </c>
      <c r="C98" s="97"/>
      <c r="D98" s="97"/>
      <c r="E98" s="105"/>
      <c r="F98" s="97">
        <f>$E94-F97</f>
        <v>-1260</v>
      </c>
      <c r="G98" s="97">
        <f t="shared" ref="G98:J98" ca="1" si="29">$E94-G97</f>
        <v>-1020</v>
      </c>
      <c r="H98" s="97">
        <f t="shared" ca="1" si="29"/>
        <v>-780</v>
      </c>
      <c r="I98" s="97">
        <f t="shared" ca="1" si="29"/>
        <v>-540</v>
      </c>
      <c r="J98" s="97">
        <f t="shared" ca="1" si="29"/>
        <v>-300</v>
      </c>
    </row>
    <row r="99" spans="2:15" s="26" customFormat="1" ht="13.8" outlineLevel="1" x14ac:dyDescent="0.3">
      <c r="B99" s="26" t="s">
        <v>79</v>
      </c>
      <c r="C99" s="97"/>
      <c r="D99" s="97"/>
      <c r="E99" s="105"/>
      <c r="F99" s="97">
        <f>$C94-F97</f>
        <v>-960</v>
      </c>
      <c r="G99" s="97">
        <f t="shared" ref="G99:J99" ca="1" si="30">$C94-G97</f>
        <v>-720</v>
      </c>
      <c r="H99" s="97">
        <f t="shared" ca="1" si="30"/>
        <v>-480</v>
      </c>
      <c r="I99" s="97">
        <f t="shared" ca="1" si="30"/>
        <v>-240</v>
      </c>
      <c r="J99" s="97">
        <f t="shared" ca="1" si="30"/>
        <v>0</v>
      </c>
    </row>
    <row r="100" spans="2:15" s="32" customFormat="1" ht="13.8" outlineLevel="1" x14ac:dyDescent="0.3">
      <c r="B100" s="32" t="s">
        <v>69</v>
      </c>
      <c r="C100" s="110"/>
      <c r="D100" s="110"/>
      <c r="E100" s="111"/>
      <c r="F100" s="111"/>
      <c r="G100" s="111"/>
      <c r="H100" s="111"/>
      <c r="I100" s="111"/>
      <c r="J100" s="110">
        <f ca="1">J99</f>
        <v>0</v>
      </c>
      <c r="L100" s="32" t="s">
        <v>144</v>
      </c>
    </row>
    <row r="101" spans="2:15" s="26" customFormat="1" ht="13.8" outlineLevel="1" x14ac:dyDescent="0.3">
      <c r="C101" s="97"/>
      <c r="D101" s="97"/>
      <c r="E101" s="97"/>
      <c r="F101" s="97"/>
      <c r="G101" s="97"/>
      <c r="H101" s="97"/>
      <c r="I101" s="97"/>
      <c r="J101" s="97"/>
    </row>
    <row r="102" spans="2:15" s="26" customFormat="1" ht="13.8" outlineLevel="1" x14ac:dyDescent="0.3">
      <c r="B102" s="26" t="s">
        <v>141</v>
      </c>
      <c r="C102" s="97"/>
      <c r="D102" s="97"/>
      <c r="E102" s="105"/>
      <c r="F102" s="97">
        <f>F30</f>
        <v>-240</v>
      </c>
      <c r="G102" s="97">
        <f t="shared" ref="G102:J102" si="31">G30</f>
        <v>-240</v>
      </c>
      <c r="H102" s="97">
        <f t="shared" si="31"/>
        <v>-240</v>
      </c>
      <c r="I102" s="97">
        <f t="shared" si="31"/>
        <v>-240</v>
      </c>
      <c r="J102" s="97">
        <f t="shared" si="31"/>
        <v>-240</v>
      </c>
      <c r="L102" s="26" t="s">
        <v>155</v>
      </c>
    </row>
    <row r="103" spans="2:15" s="26" customFormat="1" ht="13.8" outlineLevel="1" x14ac:dyDescent="0.3">
      <c r="B103" s="26" t="s">
        <v>143</v>
      </c>
      <c r="C103" s="97"/>
      <c r="D103" s="97"/>
      <c r="E103" s="105"/>
      <c r="F103" s="97">
        <f>F102</f>
        <v>-240</v>
      </c>
      <c r="G103" s="97">
        <f ca="1">G102+OFFSET(G103,0,-1)</f>
        <v>-480</v>
      </c>
      <c r="H103" s="97">
        <f ca="1">H102+OFFSET(H103,0,-1)</f>
        <v>-720</v>
      </c>
      <c r="I103" s="97">
        <f ca="1">I102+OFFSET(I103,0,-1)</f>
        <v>-960</v>
      </c>
      <c r="J103" s="97">
        <f ca="1">J102+OFFSET(J103,0,-1)</f>
        <v>-1200</v>
      </c>
    </row>
    <row r="104" spans="2:15" s="26" customFormat="1" ht="13.8" outlineLevel="1" x14ac:dyDescent="0.3">
      <c r="B104" s="26" t="s">
        <v>142</v>
      </c>
      <c r="C104" s="97"/>
      <c r="D104" s="97"/>
      <c r="E104" s="105"/>
      <c r="F104" s="97">
        <f>$E94-F103</f>
        <v>-1260</v>
      </c>
      <c r="G104" s="97">
        <f t="shared" ref="G104:J104" ca="1" si="32">$E94-G103</f>
        <v>-1020</v>
      </c>
      <c r="H104" s="97">
        <f t="shared" ca="1" si="32"/>
        <v>-780</v>
      </c>
      <c r="I104" s="97">
        <f t="shared" ca="1" si="32"/>
        <v>-540</v>
      </c>
      <c r="J104" s="97">
        <f t="shared" ca="1" si="32"/>
        <v>-300</v>
      </c>
    </row>
    <row r="105" spans="2:15" s="26" customFormat="1" ht="13.8" outlineLevel="1" x14ac:dyDescent="0.3">
      <c r="B105" s="26" t="s">
        <v>145</v>
      </c>
      <c r="C105" s="97"/>
      <c r="D105" s="97"/>
      <c r="E105" s="105"/>
      <c r="F105" s="105"/>
      <c r="G105" s="105"/>
      <c r="H105" s="105"/>
      <c r="I105" s="105"/>
      <c r="J105" s="97">
        <f>J94</f>
        <v>300</v>
      </c>
    </row>
    <row r="106" spans="2:15" s="26" customFormat="1" ht="13.8" outlineLevel="1" x14ac:dyDescent="0.3">
      <c r="B106" s="26" t="s">
        <v>146</v>
      </c>
      <c r="C106" s="97"/>
      <c r="D106" s="97"/>
      <c r="E106" s="105"/>
      <c r="F106" s="105"/>
      <c r="G106" s="105"/>
      <c r="H106" s="105"/>
      <c r="I106" s="105"/>
      <c r="J106" s="97">
        <f ca="1">SUM(J104:J105)</f>
        <v>0</v>
      </c>
    </row>
    <row r="107" spans="2:15" s="26" customFormat="1" ht="13.8" x14ac:dyDescent="0.3">
      <c r="C107" s="97"/>
      <c r="D107" s="97"/>
      <c r="E107" s="97"/>
      <c r="F107" s="97"/>
      <c r="G107" s="97"/>
      <c r="H107" s="97"/>
      <c r="I107" s="97"/>
      <c r="J107" s="97"/>
    </row>
    <row r="108" spans="2:15" s="2" customFormat="1" x14ac:dyDescent="0.3">
      <c r="B108" s="87" t="s">
        <v>90</v>
      </c>
      <c r="C108" s="88"/>
      <c r="D108" s="87"/>
      <c r="E108" s="88"/>
      <c r="F108" s="88"/>
      <c r="G108" s="88"/>
      <c r="H108" s="88"/>
      <c r="I108" s="88"/>
      <c r="J108" s="88"/>
      <c r="K108" s="30"/>
      <c r="L108" s="36"/>
      <c r="M108" s="9"/>
      <c r="N108" s="9"/>
      <c r="O108" s="12"/>
    </row>
    <row r="109" spans="2:15" s="26" customFormat="1" ht="13.8" outlineLevel="1" x14ac:dyDescent="0.3">
      <c r="E109" s="31"/>
      <c r="F109" s="31"/>
    </row>
    <row r="110" spans="2:15" s="26" customFormat="1" ht="13.8" outlineLevel="1" x14ac:dyDescent="0.3">
      <c r="B110" s="26" t="s">
        <v>91</v>
      </c>
      <c r="C110" s="59">
        <f>Dashboard!AV4</f>
        <v>0</v>
      </c>
    </row>
    <row r="111" spans="2:15" s="26" customFormat="1" ht="13.8" outlineLevel="1" x14ac:dyDescent="0.3">
      <c r="B111" s="26" t="s">
        <v>92</v>
      </c>
      <c r="C111" s="59">
        <f>Dashboard!AY4</f>
        <v>0</v>
      </c>
    </row>
    <row r="112" spans="2:15" s="26" customFormat="1" ht="13.8" outlineLevel="1" x14ac:dyDescent="0.3">
      <c r="B112" s="26" t="s">
        <v>93</v>
      </c>
      <c r="C112" s="59">
        <f>Dashboard!BB4</f>
        <v>0</v>
      </c>
    </row>
    <row r="113" spans="2:3" s="26" customFormat="1" ht="13.8" outlineLevel="1" x14ac:dyDescent="0.3">
      <c r="B113" s="26" t="s">
        <v>94</v>
      </c>
      <c r="C113" s="59">
        <f>Dashboard!BE4</f>
        <v>0</v>
      </c>
    </row>
    <row r="114" spans="2:3" s="26" customFormat="1" ht="13.8" outlineLevel="1" x14ac:dyDescent="0.3">
      <c r="B114" s="26" t="s">
        <v>95</v>
      </c>
      <c r="C114" s="59">
        <f>Dashboard!BH4</f>
        <v>0</v>
      </c>
    </row>
    <row r="115" spans="2:3" s="26" customFormat="1" ht="13.8" x14ac:dyDescent="0.3"/>
    <row r="116" spans="2:3" s="26" customFormat="1" ht="13.8" x14ac:dyDescent="0.3"/>
    <row r="117" spans="2:3" s="26" customFormat="1" ht="13.8" x14ac:dyDescent="0.3"/>
    <row r="118" spans="2:3" s="26" customFormat="1" ht="13.8" x14ac:dyDescent="0.3"/>
    <row r="119" spans="2:3" s="26" customFormat="1" ht="13.8" x14ac:dyDescent="0.3"/>
    <row r="120" spans="2:3" s="26" customFormat="1" ht="13.8" x14ac:dyDescent="0.3"/>
    <row r="121" spans="2:3" s="26" customFormat="1" ht="13.8" x14ac:dyDescent="0.3"/>
    <row r="122" spans="2:3" s="26" customFormat="1" ht="13.8" x14ac:dyDescent="0.3"/>
    <row r="123" spans="2:3" s="26" customFormat="1" ht="13.8" x14ac:dyDescent="0.3"/>
    <row r="124" spans="2:3" s="26" customFormat="1" ht="13.8" x14ac:dyDescent="0.3"/>
    <row r="125" spans="2:3" s="26" customFormat="1" ht="13.8" x14ac:dyDescent="0.3"/>
    <row r="126" spans="2:3" s="26" customFormat="1" ht="13.8" x14ac:dyDescent="0.3"/>
    <row r="127" spans="2:3" s="26" customFormat="1" ht="13.8" x14ac:dyDescent="0.3"/>
    <row r="128" spans="2:3"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row r="186" s="26" customFormat="1" ht="13.8" x14ac:dyDescent="0.3"/>
    <row r="187" s="26" customFormat="1" ht="13.8" x14ac:dyDescent="0.3"/>
    <row r="188" s="26" customFormat="1" ht="13.8" x14ac:dyDescent="0.3"/>
    <row r="189" s="26" customFormat="1" ht="13.8" x14ac:dyDescent="0.3"/>
    <row r="190" s="26" customFormat="1" ht="13.8" x14ac:dyDescent="0.3"/>
    <row r="191" s="26" customFormat="1" ht="13.8" x14ac:dyDescent="0.3"/>
    <row r="192" s="26" customFormat="1" ht="13.8" x14ac:dyDescent="0.3"/>
    <row r="193" s="26" customFormat="1" ht="13.8" x14ac:dyDescent="0.3"/>
    <row r="194" s="26" customFormat="1" ht="13.8" x14ac:dyDescent="0.3"/>
    <row r="195" s="26" customFormat="1" ht="13.8" x14ac:dyDescent="0.3"/>
    <row r="196" s="26" customFormat="1" ht="13.8" x14ac:dyDescent="0.3"/>
    <row r="197" s="26" customFormat="1" ht="13.8" x14ac:dyDescent="0.3"/>
    <row r="198" s="26" customFormat="1" ht="13.8" x14ac:dyDescent="0.3"/>
    <row r="199" s="26" customFormat="1" ht="13.8" x14ac:dyDescent="0.3"/>
    <row r="200" s="26" customFormat="1" ht="13.8" x14ac:dyDescent="0.3"/>
    <row r="201" s="26" customFormat="1" ht="13.8" x14ac:dyDescent="0.3"/>
    <row r="202" s="26" customFormat="1" ht="13.8" x14ac:dyDescent="0.3"/>
  </sheetData>
  <conditionalFormatting sqref="E89">
    <cfRule type="expression" dxfId="2" priority="1">
      <formula>$E$89=FALSE</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Bepalingen voor gebruik</vt:lpstr>
      <vt:lpstr>Modeltoelichting</vt:lpstr>
      <vt:lpstr>Afkortingen</vt:lpstr>
      <vt:lpstr>OUTPUT-&gt;</vt:lpstr>
      <vt:lpstr>Dashboard</vt:lpstr>
      <vt:lpstr>INVOER-&gt;</vt:lpstr>
      <vt:lpstr>Invoer Scenario Basis</vt:lpstr>
      <vt:lpstr>Invoer Scenario Flex</vt:lpstr>
      <vt:lpstr>SCENARIOS CALC-&gt;</vt:lpstr>
      <vt:lpstr>Calc Scenario Hoog</vt:lpstr>
      <vt:lpstr>Calc Scenario Laag</vt:lpstr>
      <vt:lpstr>Scenario Sensivity</vt:lpstr>
      <vt:lpstr>Dashboard!Print_Area</vt:lpstr>
    </vt:vector>
  </TitlesOfParts>
  <Company>KnowYourFinance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KnowYourFinance</dc:creator>
  <cp:lastModifiedBy>Sieuwerd Tiemersma</cp:lastModifiedBy>
  <cp:lastPrinted>2019-12-06T12:34:07Z</cp:lastPrinted>
  <dcterms:created xsi:type="dcterms:W3CDTF">2017-10-27T13:57:08Z</dcterms:created>
  <dcterms:modified xsi:type="dcterms:W3CDTF">2026-05-16T20:01:47Z</dcterms:modified>
</cp:coreProperties>
</file>